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BUDGETS\2026 Budget\PAYROLL WORKSHEETS\"/>
    </mc:Choice>
  </mc:AlternateContent>
  <xr:revisionPtr revIDLastSave="0" documentId="13_ncr:1_{6CECE871-D947-43B6-8C52-4D4A5F38EB6E}" xr6:coauthVersionLast="47" xr6:coauthVersionMax="47" xr10:uidLastSave="{00000000-0000-0000-0000-000000000000}"/>
  <bookViews>
    <workbookView xWindow="-120" yWindow="-120" windowWidth="29040" windowHeight="15720" xr2:uid="{8F0F1832-71D2-461A-A902-BC85217A3D5F}"/>
  </bookViews>
  <sheets>
    <sheet name="Admin" sheetId="1" r:id="rId1"/>
    <sheet name="Council" sheetId="2" r:id="rId2"/>
    <sheet name="CD" sheetId="3" r:id="rId3"/>
    <sheet name="Fire" sheetId="4" r:id="rId4"/>
    <sheet name="Library" sheetId="5" r:id="rId5"/>
    <sheet name="Marshal" sheetId="6" r:id="rId6"/>
    <sheet name="Streets Parks B&amp;G" sheetId="7" r:id="rId7"/>
    <sheet name="Water" sheetId="8" r:id="rId8"/>
    <sheet name="Wastewater" sheetId="9" r:id="rId9"/>
  </sheets>
  <definedNames>
    <definedName name="_xlnm.Print_Area" localSheetId="0">Admin!$A$1:$H$35</definedName>
    <definedName name="_xlnm.Print_Area" localSheetId="2">CD!$A$1:$G$33</definedName>
    <definedName name="_xlnm.Print_Area" localSheetId="1">Council!$A$1:$H$15</definedName>
    <definedName name="_xlnm.Print_Area" localSheetId="4">Library!$A$1:$H$31</definedName>
    <definedName name="_xlnm.Print_Area" localSheetId="5">Marshal!$A$1:$H$32</definedName>
    <definedName name="_xlnm.Print_Area" localSheetId="6">'Streets Parks B&amp;G'!$A$1:$H$36</definedName>
    <definedName name="_xlnm.Print_Area" localSheetId="8">Wastewater!$A$1:$G$30</definedName>
    <definedName name="_xlnm.Print_Area" localSheetId="7">Water!$A$1:$H$33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9" l="1"/>
  <c r="E15" i="2"/>
  <c r="F30" i="9"/>
  <c r="E30" i="9"/>
  <c r="D30" i="9"/>
  <c r="C30" i="9"/>
  <c r="B30" i="9"/>
  <c r="G26" i="9"/>
  <c r="B25" i="9"/>
  <c r="C21" i="9"/>
  <c r="B21" i="9"/>
  <c r="D21" i="9" s="1"/>
  <c r="D18" i="9"/>
  <c r="C17" i="9"/>
  <c r="B17" i="9"/>
  <c r="D17" i="9" s="1"/>
  <c r="D16" i="9"/>
  <c r="C16" i="9"/>
  <c r="B16" i="9"/>
  <c r="C15" i="9"/>
  <c r="B15" i="9"/>
  <c r="D15" i="9" s="1"/>
  <c r="D10" i="9"/>
  <c r="D7" i="9"/>
  <c r="C6" i="9"/>
  <c r="C9" i="9" s="1"/>
  <c r="C20" i="9" s="1"/>
  <c r="B6" i="9"/>
  <c r="B9" i="9" s="1"/>
  <c r="F32" i="8"/>
  <c r="E32" i="8"/>
  <c r="D32" i="8"/>
  <c r="C32" i="8"/>
  <c r="B32" i="8"/>
  <c r="G31" i="8"/>
  <c r="H31" i="8" s="1"/>
  <c r="G28" i="8"/>
  <c r="H28" i="8" s="1"/>
  <c r="C23" i="8"/>
  <c r="B23" i="8"/>
  <c r="D23" i="8" s="1"/>
  <c r="B20" i="8"/>
  <c r="D20" i="8" s="1"/>
  <c r="C19" i="8"/>
  <c r="B19" i="8"/>
  <c r="D19" i="8" s="1"/>
  <c r="C18" i="8"/>
  <c r="B18" i="8"/>
  <c r="D18" i="8" s="1"/>
  <c r="C17" i="8"/>
  <c r="B17" i="8"/>
  <c r="D17" i="8" s="1"/>
  <c r="D12" i="8"/>
  <c r="D9" i="8"/>
  <c r="D8" i="8"/>
  <c r="D7" i="8"/>
  <c r="C6" i="8"/>
  <c r="C11" i="8" s="1"/>
  <c r="C22" i="8" s="1"/>
  <c r="B6" i="8"/>
  <c r="B10" i="8" s="1"/>
  <c r="D60" i="7"/>
  <c r="C60" i="7"/>
  <c r="B60" i="7"/>
  <c r="E59" i="7"/>
  <c r="F33" i="7" s="1"/>
  <c r="H33" i="7" s="1"/>
  <c r="E58" i="7"/>
  <c r="F32" i="7" s="1"/>
  <c r="E57" i="7"/>
  <c r="E56" i="7"/>
  <c r="E55" i="7"/>
  <c r="E54" i="7"/>
  <c r="E53" i="7"/>
  <c r="D49" i="7"/>
  <c r="C49" i="7"/>
  <c r="B49" i="7"/>
  <c r="E48" i="7"/>
  <c r="E33" i="7" s="1"/>
  <c r="E47" i="7"/>
  <c r="E46" i="7"/>
  <c r="E45" i="7"/>
  <c r="E44" i="7"/>
  <c r="E43" i="7"/>
  <c r="E42" i="7"/>
  <c r="E27" i="7" s="1"/>
  <c r="E35" i="7"/>
  <c r="D35" i="7"/>
  <c r="C35" i="7"/>
  <c r="H34" i="7"/>
  <c r="E32" i="7"/>
  <c r="E31" i="7"/>
  <c r="G30" i="7"/>
  <c r="H30" i="7" s="1"/>
  <c r="F30" i="7"/>
  <c r="E30" i="7"/>
  <c r="H29" i="7"/>
  <c r="E29" i="7"/>
  <c r="F27" i="7"/>
  <c r="B27" i="7"/>
  <c r="B35" i="7" s="1"/>
  <c r="C20" i="7"/>
  <c r="E19" i="7"/>
  <c r="D18" i="7"/>
  <c r="C18" i="7"/>
  <c r="B18" i="7"/>
  <c r="E18" i="7" s="1"/>
  <c r="D17" i="7"/>
  <c r="C17" i="7"/>
  <c r="B17" i="7"/>
  <c r="E17" i="7" s="1"/>
  <c r="D16" i="7"/>
  <c r="C16" i="7"/>
  <c r="B16" i="7"/>
  <c r="D10" i="7"/>
  <c r="D21" i="7" s="1"/>
  <c r="C10" i="7"/>
  <c r="C21" i="7" s="1"/>
  <c r="B10" i="7"/>
  <c r="E8" i="7"/>
  <c r="E7" i="7"/>
  <c r="G28" i="7" s="1"/>
  <c r="H28" i="7" s="1"/>
  <c r="D6" i="7"/>
  <c r="D9" i="7" s="1"/>
  <c r="C6" i="7"/>
  <c r="C9" i="7" s="1"/>
  <c r="C13" i="7" s="1"/>
  <c r="B6" i="7"/>
  <c r="E6" i="7" s="1"/>
  <c r="F66" i="6"/>
  <c r="E66" i="6"/>
  <c r="D66" i="6"/>
  <c r="C66" i="6"/>
  <c r="B66" i="6"/>
  <c r="F65" i="6"/>
  <c r="E65" i="6"/>
  <c r="D65" i="6"/>
  <c r="C65" i="6"/>
  <c r="B65" i="6"/>
  <c r="F64" i="6"/>
  <c r="E64" i="6"/>
  <c r="D64" i="6"/>
  <c r="C64" i="6"/>
  <c r="B64" i="6"/>
  <c r="F63" i="6"/>
  <c r="E63" i="6"/>
  <c r="D63" i="6"/>
  <c r="C63" i="6"/>
  <c r="B63" i="6"/>
  <c r="F62" i="6"/>
  <c r="F68" i="6" s="1"/>
  <c r="E62" i="6"/>
  <c r="E68" i="6" s="1"/>
  <c r="D62" i="6"/>
  <c r="D68" i="6" s="1"/>
  <c r="C62" i="6"/>
  <c r="C68" i="6" s="1"/>
  <c r="B62" i="6"/>
  <c r="B68" i="6" s="1"/>
  <c r="F32" i="6"/>
  <c r="E32" i="6"/>
  <c r="D32" i="6"/>
  <c r="C32" i="6"/>
  <c r="B32" i="6"/>
  <c r="G31" i="6"/>
  <c r="H31" i="6" s="1"/>
  <c r="H27" i="6"/>
  <c r="D21" i="6"/>
  <c r="C21" i="6"/>
  <c r="B21" i="6"/>
  <c r="D20" i="6"/>
  <c r="C20" i="6"/>
  <c r="B20" i="6"/>
  <c r="G19" i="6"/>
  <c r="G18" i="6"/>
  <c r="F18" i="6"/>
  <c r="E18" i="6"/>
  <c r="D18" i="6"/>
  <c r="C18" i="6"/>
  <c r="B18" i="6"/>
  <c r="F17" i="6"/>
  <c r="E17" i="6"/>
  <c r="D17" i="6"/>
  <c r="C17" i="6"/>
  <c r="B17" i="6"/>
  <c r="G17" i="6" s="1"/>
  <c r="F16" i="6"/>
  <c r="E16" i="6"/>
  <c r="D16" i="6"/>
  <c r="D22" i="6" s="1"/>
  <c r="C16" i="6"/>
  <c r="C22" i="6" s="1"/>
  <c r="B16" i="6"/>
  <c r="D10" i="6"/>
  <c r="C10" i="6"/>
  <c r="B10" i="6"/>
  <c r="D9" i="6"/>
  <c r="C9" i="6"/>
  <c r="B9" i="6"/>
  <c r="G8" i="6"/>
  <c r="G28" i="6" s="1"/>
  <c r="H28" i="6" s="1"/>
  <c r="G7" i="6"/>
  <c r="G26" i="6" s="1"/>
  <c r="H26" i="6" s="1"/>
  <c r="G6" i="6"/>
  <c r="G25" i="6" s="1"/>
  <c r="F6" i="6"/>
  <c r="E6" i="6"/>
  <c r="D6" i="6"/>
  <c r="D13" i="6" s="1"/>
  <c r="C6" i="6"/>
  <c r="C13" i="6" s="1"/>
  <c r="B6" i="6"/>
  <c r="B13" i="6" s="1"/>
  <c r="F30" i="5"/>
  <c r="E30" i="5"/>
  <c r="D30" i="5"/>
  <c r="C30" i="5"/>
  <c r="B30" i="5"/>
  <c r="H29" i="5"/>
  <c r="G26" i="5"/>
  <c r="H26" i="5" s="1"/>
  <c r="G25" i="5"/>
  <c r="B18" i="5"/>
  <c r="B17" i="5"/>
  <c r="B16" i="5"/>
  <c r="B5" i="5"/>
  <c r="B8" i="5" s="1"/>
  <c r="F29" i="4"/>
  <c r="E29" i="4"/>
  <c r="D29" i="4"/>
  <c r="C29" i="4"/>
  <c r="B29" i="4"/>
  <c r="H28" i="4"/>
  <c r="H25" i="4"/>
  <c r="F21" i="4"/>
  <c r="E21" i="4"/>
  <c r="D17" i="4"/>
  <c r="G17" i="4" s="1"/>
  <c r="C17" i="4"/>
  <c r="B17" i="4"/>
  <c r="D16" i="4"/>
  <c r="C16" i="4"/>
  <c r="B16" i="4"/>
  <c r="G16" i="4" s="1"/>
  <c r="D15" i="4"/>
  <c r="C15" i="4"/>
  <c r="B15" i="4"/>
  <c r="G15" i="4" s="1"/>
  <c r="F12" i="4"/>
  <c r="E12" i="4"/>
  <c r="D11" i="4"/>
  <c r="D19" i="4" s="1"/>
  <c r="C11" i="4"/>
  <c r="C19" i="4" s="1"/>
  <c r="B11" i="4"/>
  <c r="B19" i="4" s="1"/>
  <c r="G19" i="4" s="1"/>
  <c r="F6" i="4"/>
  <c r="E6" i="4"/>
  <c r="D6" i="4"/>
  <c r="D10" i="4" s="1"/>
  <c r="C6" i="4"/>
  <c r="C10" i="4" s="1"/>
  <c r="C12" i="4" s="1"/>
  <c r="B6" i="4"/>
  <c r="B10" i="4" s="1"/>
  <c r="F33" i="3"/>
  <c r="E33" i="3"/>
  <c r="D33" i="3"/>
  <c r="C33" i="3"/>
  <c r="B33" i="3"/>
  <c r="H32" i="3"/>
  <c r="H31" i="3"/>
  <c r="H30" i="3"/>
  <c r="G27" i="3"/>
  <c r="H27" i="3" s="1"/>
  <c r="H26" i="3"/>
  <c r="D22" i="3"/>
  <c r="C20" i="3"/>
  <c r="B20" i="3"/>
  <c r="E19" i="3"/>
  <c r="C18" i="3"/>
  <c r="B18" i="3"/>
  <c r="E18" i="3" s="1"/>
  <c r="C17" i="3"/>
  <c r="B17" i="3"/>
  <c r="E17" i="3" s="1"/>
  <c r="C16" i="3"/>
  <c r="B16" i="3"/>
  <c r="E16" i="3" s="1"/>
  <c r="D10" i="3"/>
  <c r="C10" i="3"/>
  <c r="C21" i="3" s="1"/>
  <c r="B10" i="3"/>
  <c r="D9" i="3"/>
  <c r="D13" i="3" s="1"/>
  <c r="C9" i="3"/>
  <c r="C13" i="3" s="1"/>
  <c r="E8" i="3"/>
  <c r="E7" i="3"/>
  <c r="D6" i="3"/>
  <c r="C6" i="3"/>
  <c r="B6" i="3"/>
  <c r="B9" i="3" s="1"/>
  <c r="C15" i="2"/>
  <c r="B15" i="2"/>
  <c r="F13" i="2"/>
  <c r="D13" i="2"/>
  <c r="G13" i="2" s="1"/>
  <c r="F12" i="2"/>
  <c r="D12" i="2"/>
  <c r="G12" i="2" s="1"/>
  <c r="G11" i="2"/>
  <c r="F11" i="2"/>
  <c r="D11" i="2"/>
  <c r="G10" i="2"/>
  <c r="F10" i="2"/>
  <c r="D10" i="2"/>
  <c r="F9" i="2"/>
  <c r="D9" i="2"/>
  <c r="G9" i="2" s="1"/>
  <c r="F8" i="2"/>
  <c r="D8" i="2"/>
  <c r="G8" i="2" s="1"/>
  <c r="F7" i="2"/>
  <c r="D7" i="2"/>
  <c r="G7" i="2" s="1"/>
  <c r="F31" i="1"/>
  <c r="E31" i="1"/>
  <c r="D31" i="1"/>
  <c r="C31" i="1"/>
  <c r="H30" i="1"/>
  <c r="H29" i="1"/>
  <c r="G26" i="1"/>
  <c r="H26" i="1" s="1"/>
  <c r="B25" i="1"/>
  <c r="B31" i="1" s="1"/>
  <c r="F19" i="1"/>
  <c r="E18" i="1"/>
  <c r="D18" i="1"/>
  <c r="C18" i="1"/>
  <c r="B18" i="1"/>
  <c r="F18" i="1" s="1"/>
  <c r="E17" i="1"/>
  <c r="D17" i="1"/>
  <c r="C17" i="1"/>
  <c r="B17" i="1"/>
  <c r="F17" i="1" s="1"/>
  <c r="E16" i="1"/>
  <c r="D16" i="1"/>
  <c r="C16" i="1"/>
  <c r="B16" i="1"/>
  <c r="E10" i="1"/>
  <c r="E21" i="1" s="1"/>
  <c r="D10" i="1"/>
  <c r="D21" i="1" s="1"/>
  <c r="C10" i="1"/>
  <c r="C21" i="1" s="1"/>
  <c r="F21" i="1" s="1"/>
  <c r="F8" i="1"/>
  <c r="F7" i="1"/>
  <c r="E6" i="1"/>
  <c r="E9" i="1" s="1"/>
  <c r="E20" i="1" s="1"/>
  <c r="D6" i="1"/>
  <c r="D9" i="1" s="1"/>
  <c r="D20" i="1" s="1"/>
  <c r="C6" i="1"/>
  <c r="C9" i="1" s="1"/>
  <c r="C20" i="1" s="1"/>
  <c r="B6" i="1"/>
  <c r="B10" i="1" s="1"/>
  <c r="B21" i="1" s="1"/>
  <c r="G30" i="6" l="1"/>
  <c r="H30" i="6" s="1"/>
  <c r="G29" i="6"/>
  <c r="H29" i="6" s="1"/>
  <c r="H25" i="6"/>
  <c r="H32" i="6" s="1"/>
  <c r="B21" i="3"/>
  <c r="E21" i="3" s="1"/>
  <c r="E10" i="3"/>
  <c r="H25" i="5"/>
  <c r="B22" i="6"/>
  <c r="G16" i="6"/>
  <c r="B20" i="5"/>
  <c r="G27" i="5"/>
  <c r="H27" i="5" s="1"/>
  <c r="G9" i="6"/>
  <c r="B21" i="8"/>
  <c r="D10" i="8"/>
  <c r="G29" i="8" s="1"/>
  <c r="H29" i="8" s="1"/>
  <c r="D18" i="4"/>
  <c r="D21" i="4" s="1"/>
  <c r="D12" i="4"/>
  <c r="G27" i="7"/>
  <c r="E22" i="1"/>
  <c r="C22" i="3"/>
  <c r="B13" i="3"/>
  <c r="C22" i="1"/>
  <c r="B21" i="7"/>
  <c r="E21" i="7" s="1"/>
  <c r="E10" i="7"/>
  <c r="D22" i="1"/>
  <c r="E9" i="3"/>
  <c r="G21" i="6"/>
  <c r="G11" i="4"/>
  <c r="G27" i="4" s="1"/>
  <c r="H27" i="4" s="1"/>
  <c r="G15" i="2"/>
  <c r="F15" i="2"/>
  <c r="F22" i="6"/>
  <c r="C21" i="4"/>
  <c r="E10" i="6"/>
  <c r="G10" i="6" s="1"/>
  <c r="E9" i="6"/>
  <c r="E20" i="6"/>
  <c r="E22" i="6" s="1"/>
  <c r="E21" i="6"/>
  <c r="F31" i="7"/>
  <c r="F35" i="7" s="1"/>
  <c r="E60" i="7"/>
  <c r="F10" i="1"/>
  <c r="G28" i="1" s="1"/>
  <c r="H28" i="1" s="1"/>
  <c r="G10" i="4"/>
  <c r="G26" i="4" s="1"/>
  <c r="H26" i="4" s="1"/>
  <c r="B12" i="4"/>
  <c r="G12" i="4" s="1"/>
  <c r="B18" i="4"/>
  <c r="C18" i="4"/>
  <c r="G20" i="6"/>
  <c r="B22" i="3"/>
  <c r="D20" i="7"/>
  <c r="D22" i="7" s="1"/>
  <c r="D13" i="7"/>
  <c r="D9" i="9"/>
  <c r="B20" i="9"/>
  <c r="D20" i="9" s="1"/>
  <c r="F16" i="1"/>
  <c r="E20" i="3"/>
  <c r="E22" i="3" s="1"/>
  <c r="F21" i="6"/>
  <c r="F9" i="6"/>
  <c r="F20" i="6"/>
  <c r="F10" i="6"/>
  <c r="C22" i="7"/>
  <c r="D6" i="9"/>
  <c r="D13" i="1"/>
  <c r="B9" i="5"/>
  <c r="B12" i="5"/>
  <c r="G6" i="4"/>
  <c r="G24" i="4" s="1"/>
  <c r="E49" i="7"/>
  <c r="C11" i="9"/>
  <c r="E6" i="3"/>
  <c r="B9" i="7"/>
  <c r="B11" i="8"/>
  <c r="F6" i="1"/>
  <c r="C13" i="1"/>
  <c r="E16" i="7"/>
  <c r="B8" i="9"/>
  <c r="D15" i="2"/>
  <c r="D6" i="8"/>
  <c r="G27" i="8" s="1"/>
  <c r="E13" i="1"/>
  <c r="B9" i="1"/>
  <c r="C10" i="8"/>
  <c r="B11" i="9"/>
  <c r="C8" i="9"/>
  <c r="C19" i="9" s="1"/>
  <c r="C22" i="9" s="1"/>
  <c r="B20" i="1" l="1"/>
  <c r="F9" i="1"/>
  <c r="G27" i="1" s="1"/>
  <c r="H27" i="1" s="1"/>
  <c r="G18" i="4"/>
  <c r="G28" i="9"/>
  <c r="G27" i="9"/>
  <c r="G30" i="9" s="1"/>
  <c r="H27" i="8"/>
  <c r="D8" i="9"/>
  <c r="B19" i="9"/>
  <c r="B21" i="4"/>
  <c r="G21" i="4" s="1"/>
  <c r="G32" i="6"/>
  <c r="D11" i="8"/>
  <c r="G30" i="8" s="1"/>
  <c r="H30" i="8" s="1"/>
  <c r="B22" i="8"/>
  <c r="D22" i="8" s="1"/>
  <c r="E9" i="7"/>
  <c r="E13" i="7" s="1"/>
  <c r="B13" i="7"/>
  <c r="B20" i="7"/>
  <c r="G29" i="3"/>
  <c r="H29" i="3" s="1"/>
  <c r="G25" i="3"/>
  <c r="E13" i="3"/>
  <c r="H24" i="4"/>
  <c r="H29" i="4" s="1"/>
  <c r="G29" i="4"/>
  <c r="D11" i="9"/>
  <c r="C21" i="8"/>
  <c r="C24" i="8" s="1"/>
  <c r="C13" i="8"/>
  <c r="B21" i="5"/>
  <c r="B22" i="5" s="1"/>
  <c r="G28" i="5"/>
  <c r="H28" i="5" s="1"/>
  <c r="H30" i="5" s="1"/>
  <c r="G22" i="6"/>
  <c r="B13" i="1"/>
  <c r="F13" i="6"/>
  <c r="H27" i="7"/>
  <c r="G32" i="7"/>
  <c r="H32" i="7" s="1"/>
  <c r="G31" i="7"/>
  <c r="H31" i="7" s="1"/>
  <c r="G25" i="1"/>
  <c r="E13" i="6"/>
  <c r="B13" i="8"/>
  <c r="D19" i="9" l="1"/>
  <c r="D22" i="9" s="1"/>
  <c r="B22" i="9"/>
  <c r="G30" i="5"/>
  <c r="H32" i="8"/>
  <c r="D13" i="8"/>
  <c r="H35" i="7"/>
  <c r="B24" i="8"/>
  <c r="D24" i="8" s="1"/>
  <c r="G32" i="8"/>
  <c r="G13" i="6"/>
  <c r="H25" i="3"/>
  <c r="G28" i="3"/>
  <c r="H28" i="3" s="1"/>
  <c r="G33" i="3"/>
  <c r="H33" i="3" s="1"/>
  <c r="F20" i="1"/>
  <c r="F22" i="1" s="1"/>
  <c r="B22" i="1"/>
  <c r="G31" i="1"/>
  <c r="H25" i="1"/>
  <c r="H31" i="1" s="1"/>
  <c r="F13" i="1"/>
  <c r="E20" i="7"/>
  <c r="E22" i="7" s="1"/>
  <c r="B22" i="7"/>
  <c r="D21" i="8"/>
  <c r="G35" i="7"/>
</calcChain>
</file>

<file path=xl/sharedStrings.xml><?xml version="1.0" encoding="utf-8"?>
<sst xmlns="http://schemas.openxmlformats.org/spreadsheetml/2006/main" count="352" uniqueCount="105">
  <si>
    <t>Administration Payroll Worksheet FY26</t>
  </si>
  <si>
    <t>AP/Payroll</t>
  </si>
  <si>
    <t>Deputy Clerk</t>
  </si>
  <si>
    <t>City Clerk</t>
  </si>
  <si>
    <t>City Treasurer</t>
  </si>
  <si>
    <t>Total for Dept</t>
  </si>
  <si>
    <t>*32 Hrs/Week</t>
  </si>
  <si>
    <t>40 Hrs/Week</t>
  </si>
  <si>
    <t>Hourly</t>
  </si>
  <si>
    <t>Annual</t>
  </si>
  <si>
    <t>Empl. Health</t>
  </si>
  <si>
    <t>Retirement (PERSI)</t>
  </si>
  <si>
    <t>Employer's Tax (SS, MC)</t>
  </si>
  <si>
    <t>TOTAL BY EMPLOYEE:</t>
  </si>
  <si>
    <t>BENEFITS SUMMARY</t>
  </si>
  <si>
    <t>Holidays</t>
  </si>
  <si>
    <t>Sick Time</t>
  </si>
  <si>
    <t>Vacation</t>
  </si>
  <si>
    <t>TOTAL BENEFITS</t>
  </si>
  <si>
    <t>YEARLY COMPARISON</t>
  </si>
  <si>
    <t>FY23 BUDGET</t>
  </si>
  <si>
    <t>FY24 BUDGET</t>
  </si>
  <si>
    <t>FY24 ACTUALS</t>
  </si>
  <si>
    <t>FY25 YTD - 5/31/25</t>
  </si>
  <si>
    <t>FY25 Budget</t>
  </si>
  <si>
    <t>Draft FY26</t>
  </si>
  <si>
    <t>Change from FY25</t>
  </si>
  <si>
    <t>Wages</t>
  </si>
  <si>
    <t>Health</t>
  </si>
  <si>
    <t>Employer Taxes</t>
  </si>
  <si>
    <t>City Council</t>
  </si>
  <si>
    <t>WORKERS COMP</t>
  </si>
  <si>
    <t>TOTAL:</t>
  </si>
  <si>
    <t>MAYOR AND CITY COUNCIL</t>
  </si>
  <si>
    <t>Monthly</t>
  </si>
  <si>
    <t>Annual Wage</t>
  </si>
  <si>
    <t>Employer Taxes (7.65%)</t>
  </si>
  <si>
    <t>Worker's Comp</t>
  </si>
  <si>
    <t>PERSI Annually</t>
  </si>
  <si>
    <t>TOTAL ANNUAL PAYROLL</t>
  </si>
  <si>
    <t>Mayor</t>
  </si>
  <si>
    <t>Council Member</t>
  </si>
  <si>
    <t>TOTALS:</t>
  </si>
  <si>
    <t>Community Development Payroll Worksheet FY26</t>
  </si>
  <si>
    <t>Director</t>
  </si>
  <si>
    <t>Planner</t>
  </si>
  <si>
    <t>Communications</t>
  </si>
  <si>
    <t>8 hrs/week</t>
  </si>
  <si>
    <t>Premium Wages</t>
  </si>
  <si>
    <t>P&amp;Z Commission</t>
  </si>
  <si>
    <t>DRAFT FY26</t>
  </si>
  <si>
    <t>Premium Salary/Wages (OT)</t>
  </si>
  <si>
    <t>Empl Tax</t>
  </si>
  <si>
    <t>Workers Comp</t>
  </si>
  <si>
    <t>Fire Dept. Payroll Worksheet FY26</t>
  </si>
  <si>
    <t>Fire Chief - Admin</t>
  </si>
  <si>
    <t>Fire Chief - Training</t>
  </si>
  <si>
    <t>Fire Chief - Calls</t>
  </si>
  <si>
    <t>Volunteers - Training</t>
  </si>
  <si>
    <t>Volunteers - Calls</t>
  </si>
  <si>
    <t>20 hrs/week</t>
  </si>
  <si>
    <t>80 hrs/month</t>
  </si>
  <si>
    <t>10 hrs/month</t>
  </si>
  <si>
    <t>2065 hrs/year</t>
  </si>
  <si>
    <t>360 hrs/year</t>
  </si>
  <si>
    <t>Hourly  - Admin</t>
  </si>
  <si>
    <t>Life Insurance</t>
  </si>
  <si>
    <t>NA</t>
  </si>
  <si>
    <t>Life I nsurance</t>
  </si>
  <si>
    <t>Chief Hours:  Admin 20/week; training 80 hrs/month; calls 10 hrs/month</t>
  </si>
  <si>
    <t>Library Payroll Worksheet FY26</t>
  </si>
  <si>
    <t>Library Director</t>
  </si>
  <si>
    <t>FY25 ACTUALS</t>
  </si>
  <si>
    <t>Marshal Payroll Worksheet FY26</t>
  </si>
  <si>
    <t>Marshal</t>
  </si>
  <si>
    <t>Sergeant</t>
  </si>
  <si>
    <t>Deputy</t>
  </si>
  <si>
    <t>New Deputy</t>
  </si>
  <si>
    <t>Overtime</t>
  </si>
  <si>
    <t>Paid Time Off</t>
  </si>
  <si>
    <t>BENEFITS SUMMARY FOR DRAFT FY26 WITH COLA</t>
  </si>
  <si>
    <t>Totals:</t>
  </si>
  <si>
    <t>City Assets Payroll FY26</t>
  </si>
  <si>
    <t>Manager</t>
  </si>
  <si>
    <t>PW Operator</t>
  </si>
  <si>
    <t>Streets Operator</t>
  </si>
  <si>
    <t>COMBINED FY25 - YTD - 5/31/25</t>
  </si>
  <si>
    <t>Combined FY25 Budget</t>
  </si>
  <si>
    <t>FY26 Budget</t>
  </si>
  <si>
    <t>Premium Wages (OT)</t>
  </si>
  <si>
    <t>Comp Time</t>
  </si>
  <si>
    <t>Payroll Expenses as of May 31, 2025</t>
  </si>
  <si>
    <t>Streets</t>
  </si>
  <si>
    <t>Parks</t>
  </si>
  <si>
    <t>B&amp;G</t>
  </si>
  <si>
    <t>Total</t>
  </si>
  <si>
    <t>PAYROLL BUDGET FY25</t>
  </si>
  <si>
    <t>Water Fund Payroll Worksheet FY26</t>
  </si>
  <si>
    <t>Public Works Director</t>
  </si>
  <si>
    <t>Utility Operator &amp; Admin Specialist</t>
  </si>
  <si>
    <t>Wastewater Payroll Worksheet FY26</t>
  </si>
  <si>
    <t>Utilities Operator &amp; Admin Specialist</t>
  </si>
  <si>
    <t>50% Total Salary</t>
  </si>
  <si>
    <t>50% Time</t>
  </si>
  <si>
    <t>BENEFIT5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</si>
</sst>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4" fontId="3" fillId="0" borderId="0" xfId="1" applyFont="1" applyBorder="1" applyAlignment="1">
      <alignment vertical="center"/>
    </xf>
    <xf numFmtId="44" fontId="3" fillId="0" borderId="0" xfId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44" fontId="3" fillId="0" borderId="2" xfId="1" applyFont="1" applyFill="1" applyBorder="1" applyAlignment="1">
      <alignment vertical="center"/>
    </xf>
    <xf numFmtId="44" fontId="3" fillId="0" borderId="3" xfId="1" applyFont="1" applyFill="1" applyBorder="1" applyAlignment="1">
      <alignment vertical="center"/>
    </xf>
    <xf numFmtId="10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44" fontId="3" fillId="0" borderId="2" xfId="0" applyNumberFormat="1" applyFont="1" applyBorder="1" applyAlignment="1">
      <alignment vertical="center"/>
    </xf>
    <xf numFmtId="44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/>
    </xf>
    <xf numFmtId="44" fontId="3" fillId="0" borderId="4" xfId="1" applyFont="1" applyFill="1" applyBorder="1" applyAlignment="1">
      <alignment vertical="center"/>
    </xf>
    <xf numFmtId="44" fontId="3" fillId="0" borderId="5" xfId="1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44" fontId="4" fillId="0" borderId="8" xfId="1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44" fontId="4" fillId="0" borderId="10" xfId="1" applyFont="1" applyFill="1" applyBorder="1" applyAlignment="1">
      <alignment vertical="center"/>
    </xf>
    <xf numFmtId="44" fontId="4" fillId="0" borderId="11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44" fontId="3" fillId="0" borderId="12" xfId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10" fontId="3" fillId="0" borderId="0" xfId="1" applyNumberFormat="1" applyFont="1" applyFill="1" applyBorder="1" applyAlignment="1">
      <alignment vertical="center"/>
    </xf>
    <xf numFmtId="44" fontId="4" fillId="0" borderId="0" xfId="0" applyNumberFormat="1" applyFont="1" applyAlignment="1">
      <alignment vertical="center"/>
    </xf>
    <xf numFmtId="44" fontId="3" fillId="2" borderId="5" xfId="1" applyFont="1" applyFill="1" applyBorder="1" applyAlignment="1">
      <alignment vertical="center"/>
    </xf>
    <xf numFmtId="44" fontId="3" fillId="2" borderId="4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9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4" fontId="5" fillId="0" borderId="0" xfId="1" applyFont="1" applyFill="1" applyBorder="1" applyAlignment="1">
      <alignment vertical="center"/>
    </xf>
    <xf numFmtId="44" fontId="5" fillId="0" borderId="0" xfId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9" fontId="3" fillId="0" borderId="0" xfId="2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44" fontId="5" fillId="0" borderId="13" xfId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0" xfId="1" applyNumberFormat="1" applyFont="1" applyFill="1" applyAlignment="1">
      <alignment vertical="center"/>
    </xf>
    <xf numFmtId="44" fontId="5" fillId="0" borderId="0" xfId="1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12" xfId="0" applyFont="1" applyBorder="1" applyAlignment="1">
      <alignment vertical="center"/>
    </xf>
    <xf numFmtId="164" fontId="5" fillId="0" borderId="12" xfId="1" applyNumberFormat="1" applyFont="1" applyFill="1" applyBorder="1" applyAlignment="1">
      <alignment horizontal="center" vertical="center"/>
    </xf>
    <xf numFmtId="164" fontId="5" fillId="0" borderId="12" xfId="1" applyNumberFormat="1" applyFont="1" applyFill="1" applyBorder="1" applyAlignment="1">
      <alignment vertical="center"/>
    </xf>
    <xf numFmtId="164" fontId="5" fillId="0" borderId="12" xfId="0" applyNumberFormat="1" applyFont="1" applyBorder="1" applyAlignment="1">
      <alignment vertical="center"/>
    </xf>
    <xf numFmtId="9" fontId="3" fillId="0" borderId="0" xfId="2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44" fontId="4" fillId="0" borderId="16" xfId="1" applyFont="1" applyFill="1" applyBorder="1" applyAlignment="1">
      <alignment vertical="center"/>
    </xf>
    <xf numFmtId="44" fontId="4" fillId="0" borderId="17" xfId="1" applyFont="1" applyFill="1" applyBorder="1" applyAlignment="1">
      <alignment vertical="center"/>
    </xf>
    <xf numFmtId="44" fontId="4" fillId="0" borderId="0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3" fillId="0" borderId="10" xfId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44" fontId="3" fillId="2" borderId="2" xfId="1" applyFont="1" applyFill="1" applyBorder="1" applyAlignment="1">
      <alignment vertical="center"/>
    </xf>
    <xf numFmtId="44" fontId="3" fillId="2" borderId="2" xfId="0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44" fontId="3" fillId="0" borderId="11" xfId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44" fontId="4" fillId="0" borderId="2" xfId="0" applyNumberFormat="1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44" fontId="3" fillId="0" borderId="18" xfId="1" applyFont="1" applyFill="1" applyBorder="1" applyAlignment="1">
      <alignment vertical="center"/>
    </xf>
    <xf numFmtId="44" fontId="3" fillId="0" borderId="19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44" fontId="3" fillId="0" borderId="14" xfId="0" applyNumberFormat="1" applyFont="1" applyBorder="1" applyAlignment="1">
      <alignment vertical="center"/>
    </xf>
    <xf numFmtId="44" fontId="3" fillId="0" borderId="14" xfId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44" fontId="4" fillId="2" borderId="2" xfId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44" fontId="4" fillId="0" borderId="3" xfId="1" applyFont="1" applyFill="1" applyBorder="1" applyAlignment="1">
      <alignment vertical="center"/>
    </xf>
    <xf numFmtId="44" fontId="4" fillId="0" borderId="3" xfId="0" applyNumberFormat="1" applyFont="1" applyBorder="1" applyAlignment="1">
      <alignment vertical="center"/>
    </xf>
    <xf numFmtId="8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44" fontId="3" fillId="0" borderId="2" xfId="1" applyFont="1" applyBorder="1" applyAlignment="1">
      <alignment vertical="center"/>
    </xf>
    <xf numFmtId="44" fontId="3" fillId="0" borderId="13" xfId="1" applyFont="1" applyBorder="1" applyAlignment="1">
      <alignment vertical="center"/>
    </xf>
    <xf numFmtId="44" fontId="4" fillId="0" borderId="0" xfId="1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44" fontId="0" fillId="2" borderId="0" xfId="0" applyNumberFormat="1" applyFill="1"/>
    <xf numFmtId="44" fontId="3" fillId="0" borderId="4" xfId="1" applyFont="1" applyBorder="1" applyAlignment="1">
      <alignment vertical="center"/>
    </xf>
    <xf numFmtId="44" fontId="4" fillId="0" borderId="2" xfId="1" applyFont="1" applyBorder="1" applyAlignment="1">
      <alignment vertical="center"/>
    </xf>
    <xf numFmtId="44" fontId="3" fillId="0" borderId="1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4" fontId="3" fillId="0" borderId="0" xfId="1" applyFont="1" applyFill="1" applyBorder="1" applyAlignment="1">
      <alignment horizontal="left" vertical="center"/>
    </xf>
    <xf numFmtId="44" fontId="4" fillId="0" borderId="0" xfId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9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4" fontId="8" fillId="0" borderId="0" xfId="0" applyNumberFormat="1" applyFont="1" applyAlignment="1">
      <alignment vertical="center"/>
    </xf>
    <xf numFmtId="9" fontId="4" fillId="0" borderId="2" xfId="0" applyNumberFormat="1" applyFont="1" applyBorder="1" applyAlignment="1">
      <alignment horizontal="center" vertical="center"/>
    </xf>
    <xf numFmtId="9" fontId="3" fillId="0" borderId="0" xfId="1" applyNumberFormat="1" applyFont="1" applyFill="1" applyBorder="1" applyAlignment="1">
      <alignment vertical="center"/>
    </xf>
    <xf numFmtId="44" fontId="3" fillId="0" borderId="0" xfId="1" applyFont="1" applyFill="1" applyAlignment="1">
      <alignment vertical="center"/>
    </xf>
    <xf numFmtId="44" fontId="4" fillId="0" borderId="12" xfId="0" applyNumberFormat="1" applyFont="1" applyBorder="1" applyAlignment="1">
      <alignment vertical="center"/>
    </xf>
    <xf numFmtId="0" fontId="5" fillId="0" borderId="0" xfId="0" applyFont="1"/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44" fontId="4" fillId="0" borderId="0" xfId="1" applyFont="1" applyFill="1" applyBorder="1" applyAlignment="1">
      <alignment horizontal="center" vertical="center"/>
    </xf>
    <xf numFmtId="44" fontId="4" fillId="0" borderId="12" xfId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9" fontId="2" fillId="0" borderId="0" xfId="0" applyNumberFormat="1" applyFont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44" fontId="0" fillId="0" borderId="0" xfId="1" applyFont="1" applyBorder="1" applyAlignment="1">
      <alignment vertical="center"/>
    </xf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vertical="center"/>
    </xf>
    <xf numFmtId="44" fontId="3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78165-6B23-4C64-9201-0F543207D786}">
  <sheetPr>
    <pageSetUpPr fitToPage="1"/>
  </sheetPr>
  <dimension ref="A1:Q53"/>
  <sheetViews>
    <sheetView tabSelected="1" zoomScaleNormal="100" workbookViewId="0">
      <selection activeCell="G10" sqref="G10"/>
    </sheetView>
  </sheetViews>
  <sheetFormatPr defaultRowHeight="13.5" x14ac:dyDescent="0.25"/>
  <cols>
    <col min="1" max="1" width="22.5703125" style="2" customWidth="1"/>
    <col min="2" max="2" width="14.5703125" style="2" bestFit="1" customWidth="1"/>
    <col min="3" max="3" width="14.85546875" style="2" bestFit="1" customWidth="1"/>
    <col min="4" max="4" width="14.7109375" style="2" bestFit="1" customWidth="1"/>
    <col min="5" max="5" width="13.140625" style="2" customWidth="1"/>
    <col min="6" max="6" width="13.7109375" style="2" bestFit="1" customWidth="1"/>
    <col min="7" max="7" width="15.7109375" style="2" customWidth="1"/>
    <col min="8" max="8" width="14.42578125" style="2" customWidth="1"/>
    <col min="9" max="9" width="12" style="2" bestFit="1" customWidth="1"/>
    <col min="10" max="10" width="12.28515625" style="2" customWidth="1"/>
    <col min="11" max="11" width="14.5703125" style="2" bestFit="1" customWidth="1"/>
    <col min="12" max="12" width="15.85546875" style="2" customWidth="1"/>
    <col min="13" max="13" width="14" style="2" customWidth="1"/>
    <col min="14" max="14" width="11" style="2" bestFit="1" customWidth="1"/>
    <col min="15" max="16" width="12" style="2" bestFit="1" customWidth="1"/>
    <col min="17" max="17" width="12.5703125" style="2" customWidth="1"/>
    <col min="18" max="18" width="14.140625" style="2" customWidth="1"/>
    <col min="19" max="16384" width="9.140625" style="2"/>
  </cols>
  <sheetData>
    <row r="1" spans="1:17" ht="18.75" x14ac:dyDescent="0.25">
      <c r="A1" s="1" t="s">
        <v>0</v>
      </c>
      <c r="O1" s="3"/>
      <c r="P1" s="3"/>
    </row>
    <row r="2" spans="1:17" x14ac:dyDescent="0.25">
      <c r="B2" s="4"/>
      <c r="C2" s="4"/>
      <c r="D2" s="4"/>
      <c r="E2" s="4"/>
      <c r="F2" s="4"/>
      <c r="O2" s="3"/>
      <c r="P2" s="3"/>
    </row>
    <row r="3" spans="1:17" ht="15" customHeight="1" x14ac:dyDescent="0.25">
      <c r="A3" s="5"/>
      <c r="B3" s="6" t="s">
        <v>1</v>
      </c>
      <c r="C3" s="6" t="s">
        <v>2</v>
      </c>
      <c r="D3" s="6" t="s">
        <v>3</v>
      </c>
      <c r="E3" s="6" t="s">
        <v>4</v>
      </c>
      <c r="F3" s="7" t="s">
        <v>5</v>
      </c>
      <c r="M3" s="8"/>
      <c r="O3" s="9"/>
      <c r="P3" s="9"/>
    </row>
    <row r="4" spans="1:17" x14ac:dyDescent="0.25">
      <c r="A4" s="5"/>
      <c r="B4" s="6" t="s">
        <v>6</v>
      </c>
      <c r="C4" s="6" t="s">
        <v>7</v>
      </c>
      <c r="D4" s="6" t="s">
        <v>6</v>
      </c>
      <c r="E4" s="6" t="s">
        <v>7</v>
      </c>
      <c r="F4" s="10"/>
      <c r="I4" s="3"/>
      <c r="J4" s="3"/>
      <c r="M4" s="8"/>
      <c r="O4" s="9"/>
      <c r="P4" s="9"/>
      <c r="Q4" s="9"/>
    </row>
    <row r="5" spans="1:17" x14ac:dyDescent="0.25">
      <c r="A5" s="5" t="s">
        <v>8</v>
      </c>
      <c r="B5" s="11">
        <v>28.12</v>
      </c>
      <c r="C5" s="11">
        <v>28.12</v>
      </c>
      <c r="D5" s="11">
        <v>32</v>
      </c>
      <c r="E5" s="11">
        <v>39</v>
      </c>
      <c r="F5" s="12"/>
      <c r="I5" s="3"/>
      <c r="J5" s="3"/>
      <c r="M5" s="9"/>
    </row>
    <row r="6" spans="1:17" x14ac:dyDescent="0.25">
      <c r="A6" s="5" t="s">
        <v>9</v>
      </c>
      <c r="B6" s="11">
        <f>SUM(B5*1664)</f>
        <v>46791.68</v>
      </c>
      <c r="C6" s="11">
        <f>SUM(C5*2080)</f>
        <v>58489.599999999999</v>
      </c>
      <c r="D6" s="11">
        <f>SUM(D5*1664)</f>
        <v>53248</v>
      </c>
      <c r="E6" s="11">
        <f>SUM(E5*2080)</f>
        <v>81120</v>
      </c>
      <c r="F6" s="12">
        <f>SUM(B6:E6)</f>
        <v>239649.28</v>
      </c>
      <c r="I6" s="9"/>
      <c r="J6" s="9"/>
      <c r="K6" s="13"/>
      <c r="L6" s="14"/>
      <c r="O6" s="9"/>
      <c r="P6" s="9"/>
      <c r="Q6" s="9"/>
    </row>
    <row r="7" spans="1:17" x14ac:dyDescent="0.25">
      <c r="A7" s="5"/>
      <c r="B7" s="5"/>
      <c r="C7" s="5"/>
      <c r="D7" s="15"/>
      <c r="E7" s="5"/>
      <c r="F7" s="12">
        <f t="shared" ref="F7:F10" si="0">SUM(B7:E7)</f>
        <v>0</v>
      </c>
      <c r="I7" s="9"/>
      <c r="J7" s="9"/>
      <c r="M7" s="3"/>
      <c r="N7" s="3"/>
      <c r="O7" s="9"/>
      <c r="P7" s="9"/>
      <c r="Q7" s="9"/>
    </row>
    <row r="8" spans="1:17" x14ac:dyDescent="0.25">
      <c r="A8" s="5" t="s">
        <v>10</v>
      </c>
      <c r="B8" s="11">
        <v>10420</v>
      </c>
      <c r="C8" s="11">
        <v>10420</v>
      </c>
      <c r="D8" s="11">
        <v>10420</v>
      </c>
      <c r="E8" s="11">
        <v>10420</v>
      </c>
      <c r="F8" s="12">
        <f t="shared" si="0"/>
        <v>41680</v>
      </c>
      <c r="I8" s="16"/>
      <c r="K8" s="9"/>
      <c r="L8" s="3"/>
      <c r="M8" s="9"/>
      <c r="N8" s="9"/>
      <c r="O8" s="9"/>
      <c r="P8" s="9"/>
      <c r="Q8" s="9"/>
    </row>
    <row r="9" spans="1:17" x14ac:dyDescent="0.25">
      <c r="A9" s="10" t="s">
        <v>11</v>
      </c>
      <c r="B9" s="11">
        <f>SUM(B6*11.96%)</f>
        <v>5596.2849280000009</v>
      </c>
      <c r="C9" s="11">
        <f>SUM(C6*11.96%)</f>
        <v>6995.3561600000003</v>
      </c>
      <c r="D9" s="11">
        <f>SUM(D6*11.96%)</f>
        <v>6368.4608000000007</v>
      </c>
      <c r="E9" s="11">
        <f>SUM(E6*11.96%)</f>
        <v>9701.9520000000011</v>
      </c>
      <c r="F9" s="12">
        <f t="shared" si="0"/>
        <v>28662.053888000002</v>
      </c>
      <c r="I9" s="9"/>
      <c r="J9" s="9"/>
      <c r="L9" s="9"/>
      <c r="M9" s="9"/>
      <c r="N9" s="9"/>
      <c r="O9" s="9"/>
      <c r="P9" s="9"/>
    </row>
    <row r="10" spans="1:17" x14ac:dyDescent="0.25">
      <c r="A10" s="10" t="s">
        <v>12</v>
      </c>
      <c r="B10" s="11">
        <f>SUM(B6*7.65%)</f>
        <v>3579.5635200000002</v>
      </c>
      <c r="C10" s="11">
        <f>SUM(C6*7.65%)</f>
        <v>4474.4543999999996</v>
      </c>
      <c r="D10" s="11">
        <f>SUM(D6*7.65%)</f>
        <v>4073.4719999999998</v>
      </c>
      <c r="E10" s="11">
        <f>SUM(E6*7.65%)</f>
        <v>6205.68</v>
      </c>
      <c r="F10" s="12">
        <f t="shared" si="0"/>
        <v>18333.16992</v>
      </c>
      <c r="I10" s="9"/>
      <c r="J10" s="9"/>
      <c r="K10" s="16"/>
      <c r="L10" s="9"/>
      <c r="M10" s="9"/>
      <c r="N10" s="9"/>
      <c r="O10" s="9"/>
      <c r="P10" s="9"/>
    </row>
    <row r="11" spans="1:17" x14ac:dyDescent="0.25">
      <c r="A11" s="5"/>
      <c r="B11" s="11"/>
      <c r="C11" s="11"/>
      <c r="D11" s="11"/>
      <c r="E11" s="11"/>
      <c r="F11" s="12"/>
      <c r="I11" s="9"/>
      <c r="J11" s="9"/>
      <c r="L11" s="9"/>
      <c r="M11" s="9"/>
      <c r="N11" s="9"/>
      <c r="O11" s="9"/>
      <c r="P11" s="9"/>
      <c r="Q11" s="9"/>
    </row>
    <row r="12" spans="1:17" ht="14.25" thickBot="1" x14ac:dyDescent="0.3">
      <c r="A12" s="17"/>
      <c r="B12" s="18"/>
      <c r="C12" s="18"/>
      <c r="D12" s="18"/>
      <c r="E12" s="18"/>
      <c r="F12" s="19"/>
      <c r="I12" s="9"/>
      <c r="J12" s="9"/>
      <c r="L12" s="9"/>
      <c r="M12" s="9"/>
      <c r="N12" s="9"/>
      <c r="O12" s="9"/>
      <c r="P12" s="9"/>
      <c r="Q12" s="16"/>
    </row>
    <row r="13" spans="1:17" ht="14.25" thickBot="1" x14ac:dyDescent="0.3">
      <c r="A13" s="20" t="s">
        <v>13</v>
      </c>
      <c r="B13" s="21">
        <f>SUM(B6:B12)</f>
        <v>66387.528447999997</v>
      </c>
      <c r="C13" s="21">
        <f t="shared" ref="C13:F13" si="1">SUM(C6:C12)</f>
        <v>80379.410560000004</v>
      </c>
      <c r="D13" s="21">
        <f t="shared" si="1"/>
        <v>74109.932799999995</v>
      </c>
      <c r="E13" s="21">
        <f t="shared" si="1"/>
        <v>107447.63200000001</v>
      </c>
      <c r="F13" s="22">
        <f t="shared" si="1"/>
        <v>328324.50380800007</v>
      </c>
      <c r="I13" s="9"/>
      <c r="J13" s="9"/>
      <c r="L13" s="9"/>
      <c r="M13" s="9"/>
      <c r="N13" s="16"/>
      <c r="O13" s="16"/>
      <c r="P13" s="16"/>
    </row>
    <row r="14" spans="1:17" x14ac:dyDescent="0.25">
      <c r="A14" s="23"/>
      <c r="B14" s="24"/>
      <c r="C14" s="24"/>
      <c r="D14" s="24"/>
      <c r="E14" s="24"/>
      <c r="F14" s="25"/>
      <c r="I14" s="71"/>
      <c r="J14" s="71"/>
      <c r="L14" s="9"/>
      <c r="M14" s="9"/>
      <c r="N14" s="16"/>
      <c r="O14" s="9"/>
      <c r="P14" s="9"/>
      <c r="Q14" s="9"/>
    </row>
    <row r="15" spans="1:17" x14ac:dyDescent="0.25">
      <c r="A15" s="26" t="s">
        <v>14</v>
      </c>
      <c r="B15" s="16"/>
      <c r="C15" s="16"/>
      <c r="D15" s="16"/>
      <c r="E15" s="16"/>
      <c r="F15" s="16"/>
      <c r="G15" s="9"/>
      <c r="I15" s="9"/>
      <c r="J15" s="16"/>
      <c r="L15" s="9"/>
      <c r="N15" s="16"/>
      <c r="O15" s="9"/>
      <c r="P15" s="9"/>
      <c r="Q15" s="9"/>
    </row>
    <row r="16" spans="1:17" x14ac:dyDescent="0.25">
      <c r="A16" s="2" t="s">
        <v>15</v>
      </c>
      <c r="B16" s="9">
        <f>SUM(B5*112)</f>
        <v>3149.44</v>
      </c>
      <c r="C16" s="9">
        <f t="shared" ref="C16:E16" si="2">SUM(C5*112)</f>
        <v>3149.44</v>
      </c>
      <c r="D16" s="9">
        <f t="shared" si="2"/>
        <v>3584</v>
      </c>
      <c r="E16" s="9">
        <f t="shared" si="2"/>
        <v>4368</v>
      </c>
      <c r="F16" s="9">
        <f>SUM(B16:E16)</f>
        <v>14250.880000000001</v>
      </c>
      <c r="G16" s="9"/>
      <c r="I16" s="9"/>
      <c r="N16" s="3"/>
      <c r="O16" s="9"/>
      <c r="P16" s="9"/>
      <c r="Q16" s="9"/>
    </row>
    <row r="17" spans="1:17" x14ac:dyDescent="0.25">
      <c r="A17" s="2" t="s">
        <v>17</v>
      </c>
      <c r="B17" s="9">
        <f>SUM(B5*80.08)</f>
        <v>2251.8496</v>
      </c>
      <c r="C17" s="9">
        <f>SUM(C5*80.08)</f>
        <v>2251.8496</v>
      </c>
      <c r="D17" s="9">
        <f>SUM(D5*80.08)</f>
        <v>2562.56</v>
      </c>
      <c r="E17" s="9">
        <f>SUM(E5*80.08)</f>
        <v>3123.12</v>
      </c>
      <c r="F17" s="9">
        <f t="shared" ref="F17:F21" si="3">SUM(B17:E17)</f>
        <v>10189.379199999999</v>
      </c>
      <c r="G17" s="16"/>
      <c r="N17" s="9"/>
      <c r="O17" s="9"/>
      <c r="P17" s="9"/>
      <c r="Q17" s="9"/>
    </row>
    <row r="18" spans="1:17" x14ac:dyDescent="0.25">
      <c r="A18" s="2" t="s">
        <v>16</v>
      </c>
      <c r="B18" s="9">
        <f>SUM(B5*96.2)</f>
        <v>2705.1440000000002</v>
      </c>
      <c r="C18" s="9">
        <f>SUM(C5*96.2)</f>
        <v>2705.1440000000002</v>
      </c>
      <c r="D18" s="9">
        <f>SUM(D5*96.2)</f>
        <v>3078.4</v>
      </c>
      <c r="E18" s="9">
        <f>SUM(E5*96.2)</f>
        <v>3751.8</v>
      </c>
      <c r="F18" s="9">
        <f t="shared" si="3"/>
        <v>12240.488000000001</v>
      </c>
      <c r="N18" s="9"/>
      <c r="O18" s="9"/>
      <c r="P18" s="9"/>
      <c r="Q18" s="9"/>
    </row>
    <row r="19" spans="1:17" x14ac:dyDescent="0.25">
      <c r="A19" s="2" t="s">
        <v>10</v>
      </c>
      <c r="B19" s="9">
        <v>10420</v>
      </c>
      <c r="C19" s="9">
        <v>10420</v>
      </c>
      <c r="D19" s="9">
        <v>10420</v>
      </c>
      <c r="E19" s="9">
        <v>10420</v>
      </c>
      <c r="F19" s="9">
        <f t="shared" si="3"/>
        <v>41680</v>
      </c>
      <c r="N19" s="9"/>
      <c r="O19" s="16"/>
      <c r="P19" s="16"/>
      <c r="Q19" s="16"/>
    </row>
    <row r="20" spans="1:17" x14ac:dyDescent="0.25">
      <c r="A20" s="2" t="s">
        <v>11</v>
      </c>
      <c r="B20" s="9">
        <f t="shared" ref="B20:E21" si="4">B9</f>
        <v>5596.2849280000009</v>
      </c>
      <c r="C20" s="9">
        <f t="shared" si="4"/>
        <v>6995.3561600000003</v>
      </c>
      <c r="D20" s="9">
        <f t="shared" si="4"/>
        <v>6368.4608000000007</v>
      </c>
      <c r="E20" s="9">
        <f t="shared" si="4"/>
        <v>9701.9520000000011</v>
      </c>
      <c r="F20" s="9">
        <f t="shared" si="3"/>
        <v>28662.053888000002</v>
      </c>
      <c r="G20" s="16"/>
      <c r="N20" s="9"/>
      <c r="O20" s="9"/>
      <c r="P20" s="9"/>
      <c r="Q20" s="9"/>
    </row>
    <row r="21" spans="1:17" x14ac:dyDescent="0.25">
      <c r="A21" s="2" t="s">
        <v>12</v>
      </c>
      <c r="B21" s="16">
        <f t="shared" si="4"/>
        <v>3579.5635200000002</v>
      </c>
      <c r="C21" s="16">
        <f t="shared" si="4"/>
        <v>4474.4543999999996</v>
      </c>
      <c r="D21" s="16">
        <f t="shared" si="4"/>
        <v>4073.4719999999998</v>
      </c>
      <c r="E21" s="16">
        <f t="shared" si="4"/>
        <v>6205.68</v>
      </c>
      <c r="F21" s="9">
        <f t="shared" si="3"/>
        <v>18333.16992</v>
      </c>
      <c r="G21" s="16"/>
      <c r="H21" s="16"/>
      <c r="N21" s="9"/>
      <c r="O21" s="9"/>
    </row>
    <row r="22" spans="1:17" x14ac:dyDescent="0.25">
      <c r="A22" s="27" t="s">
        <v>18</v>
      </c>
      <c r="B22" s="28">
        <f>SUM(B16:B21)</f>
        <v>27702.282048000001</v>
      </c>
      <c r="C22" s="28">
        <f t="shared" ref="C22:F22" si="5">SUM(C16:C21)</f>
        <v>29996.244159999998</v>
      </c>
      <c r="D22" s="28">
        <f t="shared" si="5"/>
        <v>30086.892800000001</v>
      </c>
      <c r="E22" s="28">
        <f t="shared" si="5"/>
        <v>37570.551999999996</v>
      </c>
      <c r="F22" s="28">
        <f t="shared" si="5"/>
        <v>125355.97100800001</v>
      </c>
    </row>
    <row r="23" spans="1:17" x14ac:dyDescent="0.25">
      <c r="K23" s="16"/>
      <c r="L23" s="9"/>
      <c r="M23" s="9"/>
      <c r="N23" s="16"/>
    </row>
    <row r="24" spans="1:17" ht="27" x14ac:dyDescent="0.25">
      <c r="A24" s="29" t="s">
        <v>19</v>
      </c>
      <c r="B24" s="30" t="s">
        <v>20</v>
      </c>
      <c r="C24" s="30" t="s">
        <v>21</v>
      </c>
      <c r="D24" s="30" t="s">
        <v>22</v>
      </c>
      <c r="E24" s="31" t="s">
        <v>23</v>
      </c>
      <c r="F24" s="30" t="s">
        <v>24</v>
      </c>
      <c r="G24" s="32" t="s">
        <v>25</v>
      </c>
      <c r="H24" s="31" t="s">
        <v>26</v>
      </c>
      <c r="K24" s="26"/>
      <c r="L24" s="9"/>
      <c r="M24" s="9"/>
      <c r="N24" s="9"/>
      <c r="O24" s="9"/>
      <c r="P24" s="9"/>
    </row>
    <row r="25" spans="1:17" ht="16.5" customHeight="1" x14ac:dyDescent="0.25">
      <c r="A25" s="5" t="s">
        <v>27</v>
      </c>
      <c r="B25" s="11">
        <f>SUM(222212.8+4160)</f>
        <v>226372.8</v>
      </c>
      <c r="C25" s="11">
        <v>318529.28000000003</v>
      </c>
      <c r="D25" s="11">
        <v>263350.25</v>
      </c>
      <c r="E25" s="11">
        <v>172501.04</v>
      </c>
      <c r="F25" s="11">
        <v>289284</v>
      </c>
      <c r="G25" s="33">
        <f>F6</f>
        <v>239649.28</v>
      </c>
      <c r="H25" s="15">
        <f>SUM(G25-F25)</f>
        <v>-49634.720000000001</v>
      </c>
      <c r="L25" s="9"/>
      <c r="M25" s="9"/>
      <c r="N25" s="9"/>
      <c r="O25" s="9"/>
      <c r="P25" s="9"/>
    </row>
    <row r="26" spans="1:17" ht="16.5" customHeight="1" x14ac:dyDescent="0.25">
      <c r="A26" s="5" t="s">
        <v>28</v>
      </c>
      <c r="B26" s="11">
        <v>39762</v>
      </c>
      <c r="C26" s="11">
        <v>50627</v>
      </c>
      <c r="D26" s="11">
        <v>43452.02</v>
      </c>
      <c r="E26" s="11">
        <v>46154.080000000002</v>
      </c>
      <c r="F26" s="11">
        <v>51600</v>
      </c>
      <c r="G26" s="33">
        <f>F8</f>
        <v>41680</v>
      </c>
      <c r="H26" s="15">
        <f t="shared" ref="H26:H30" si="6">SUM(G26-F26)</f>
        <v>-9920</v>
      </c>
      <c r="L26" s="9"/>
      <c r="M26" s="9"/>
      <c r="N26" s="9"/>
      <c r="O26" s="9"/>
      <c r="P26" s="9"/>
    </row>
    <row r="27" spans="1:17" ht="16.5" customHeight="1" x14ac:dyDescent="0.25">
      <c r="A27" s="5" t="s">
        <v>11</v>
      </c>
      <c r="B27" s="11">
        <v>27028.91</v>
      </c>
      <c r="C27" s="11">
        <v>36232.71</v>
      </c>
      <c r="D27" s="11">
        <v>30060.720000000001</v>
      </c>
      <c r="E27" s="11">
        <v>20522.009999999998</v>
      </c>
      <c r="F27" s="11">
        <v>34364.42</v>
      </c>
      <c r="G27" s="33">
        <f>F9</f>
        <v>28662.053888000002</v>
      </c>
      <c r="H27" s="15">
        <f t="shared" si="6"/>
        <v>-5702.3661119999961</v>
      </c>
      <c r="K27" s="34"/>
      <c r="L27" s="9"/>
      <c r="M27" s="9"/>
      <c r="N27" s="9"/>
      <c r="O27" s="9"/>
      <c r="P27" s="9"/>
    </row>
    <row r="28" spans="1:17" ht="16.5" customHeight="1" x14ac:dyDescent="0.25">
      <c r="A28" s="5" t="s">
        <v>29</v>
      </c>
      <c r="B28" s="11">
        <v>17317.52</v>
      </c>
      <c r="C28" s="11">
        <v>24367.49</v>
      </c>
      <c r="D28" s="11">
        <v>19835.349999999999</v>
      </c>
      <c r="E28" s="11">
        <v>12873.21</v>
      </c>
      <c r="F28" s="11">
        <v>22130.19</v>
      </c>
      <c r="G28" s="33">
        <f>F10</f>
        <v>18333.16992</v>
      </c>
      <c r="H28" s="15">
        <f t="shared" si="6"/>
        <v>-3797.0200799999984</v>
      </c>
      <c r="K28" s="35"/>
      <c r="O28" s="9"/>
      <c r="P28" s="9"/>
    </row>
    <row r="29" spans="1:17" ht="16.5" customHeight="1" x14ac:dyDescent="0.25">
      <c r="A29" s="5" t="s">
        <v>30</v>
      </c>
      <c r="B29" s="11"/>
      <c r="C29" s="11"/>
      <c r="D29" s="11"/>
      <c r="E29" s="11"/>
      <c r="F29" s="12">
        <v>35649</v>
      </c>
      <c r="G29" s="33">
        <v>35649</v>
      </c>
      <c r="H29" s="15">
        <f t="shared" si="6"/>
        <v>0</v>
      </c>
      <c r="K29" s="9"/>
      <c r="L29" s="9"/>
      <c r="M29" s="9"/>
      <c r="N29" s="9"/>
      <c r="O29" s="9"/>
      <c r="P29" s="36"/>
    </row>
    <row r="30" spans="1:17" ht="16.5" customHeight="1" x14ac:dyDescent="0.25">
      <c r="A30" s="17" t="s">
        <v>31</v>
      </c>
      <c r="B30" s="18"/>
      <c r="C30" s="18"/>
      <c r="D30" s="18"/>
      <c r="E30" s="18"/>
      <c r="F30" s="19">
        <v>608</v>
      </c>
      <c r="G30" s="37">
        <v>33692</v>
      </c>
      <c r="H30" s="15">
        <f t="shared" si="6"/>
        <v>33084</v>
      </c>
      <c r="K30" s="9"/>
      <c r="L30" s="9"/>
      <c r="M30" s="9"/>
      <c r="N30" s="9"/>
      <c r="O30" s="9"/>
      <c r="P30" s="36"/>
    </row>
    <row r="31" spans="1:17" ht="16.5" customHeight="1" x14ac:dyDescent="0.25">
      <c r="A31" s="17" t="s">
        <v>32</v>
      </c>
      <c r="B31" s="18">
        <f>SUM(B25:B30)</f>
        <v>310481.23</v>
      </c>
      <c r="C31" s="18">
        <f t="shared" ref="C31:G31" si="7">SUM(C25:C30)</f>
        <v>429756.48000000004</v>
      </c>
      <c r="D31" s="18">
        <f t="shared" si="7"/>
        <v>356698.33999999997</v>
      </c>
      <c r="E31" s="18">
        <f t="shared" si="7"/>
        <v>252050.34</v>
      </c>
      <c r="F31" s="18">
        <f t="shared" si="7"/>
        <v>433635.61</v>
      </c>
      <c r="G31" s="38">
        <f t="shared" si="7"/>
        <v>397665.50380800007</v>
      </c>
      <c r="H31" s="19">
        <f>SUM(H25:H30)</f>
        <v>-35970.106191999992</v>
      </c>
      <c r="K31" s="9"/>
      <c r="L31" s="9"/>
      <c r="M31" s="9"/>
      <c r="N31" s="9"/>
      <c r="O31" s="9"/>
      <c r="P31" s="36"/>
    </row>
    <row r="32" spans="1:17" ht="23.25" customHeight="1" x14ac:dyDescent="0.25">
      <c r="B32" s="9"/>
      <c r="C32" s="9"/>
      <c r="D32" s="9"/>
      <c r="G32" s="9"/>
      <c r="N32" s="9"/>
      <c r="O32" s="9"/>
    </row>
    <row r="33" spans="1:15" x14ac:dyDescent="0.25">
      <c r="A33" s="39"/>
      <c r="F33" s="40"/>
      <c r="G33" s="16"/>
      <c r="K33" s="41"/>
      <c r="N33" s="9"/>
      <c r="O33" s="9"/>
    </row>
    <row r="34" spans="1:15" ht="21" x14ac:dyDescent="0.25">
      <c r="E34" s="9"/>
      <c r="G34" s="16"/>
      <c r="J34" s="42"/>
      <c r="K34" s="9"/>
      <c r="L34" s="9"/>
      <c r="M34" s="9"/>
      <c r="N34" s="9"/>
      <c r="O34" s="9"/>
    </row>
    <row r="35" spans="1:15" x14ac:dyDescent="0.25">
      <c r="K35" s="9"/>
      <c r="L35" s="9"/>
      <c r="M35" s="9"/>
      <c r="N35" s="9"/>
      <c r="O35" s="9"/>
    </row>
    <row r="36" spans="1:15" x14ac:dyDescent="0.25">
      <c r="K36" s="43"/>
      <c r="L36" s="3"/>
      <c r="M36" s="3"/>
      <c r="N36" s="3"/>
    </row>
    <row r="37" spans="1:15" x14ac:dyDescent="0.25">
      <c r="K37" s="9"/>
      <c r="L37" s="9"/>
      <c r="M37" s="9"/>
      <c r="N37" s="9"/>
    </row>
    <row r="38" spans="1:15" x14ac:dyDescent="0.25">
      <c r="K38" s="16"/>
      <c r="L38" s="16"/>
      <c r="M38" s="16"/>
      <c r="N38" s="16"/>
    </row>
    <row r="39" spans="1:15" x14ac:dyDescent="0.25">
      <c r="F39" s="16"/>
      <c r="K39" s="9"/>
      <c r="L39" s="9"/>
      <c r="M39" s="9"/>
      <c r="N39" s="9"/>
    </row>
    <row r="40" spans="1:15" x14ac:dyDescent="0.25">
      <c r="K40" s="9"/>
      <c r="L40" s="9"/>
      <c r="M40" s="9"/>
      <c r="N40" s="9"/>
    </row>
    <row r="41" spans="1:15" x14ac:dyDescent="0.25">
      <c r="K41" s="9"/>
      <c r="L41" s="9"/>
      <c r="M41" s="9"/>
      <c r="N41" s="9"/>
    </row>
    <row r="43" spans="1:15" x14ac:dyDescent="0.25">
      <c r="F43" s="44"/>
      <c r="K43" s="16"/>
      <c r="L43" s="16"/>
      <c r="M43" s="16"/>
      <c r="N43" s="16"/>
    </row>
    <row r="44" spans="1:15" x14ac:dyDescent="0.25">
      <c r="F44" s="44"/>
    </row>
    <row r="45" spans="1:15" x14ac:dyDescent="0.25">
      <c r="A45" s="39"/>
      <c r="B45" s="45"/>
      <c r="C45" s="39"/>
      <c r="E45" s="39"/>
      <c r="F45" s="39"/>
    </row>
    <row r="46" spans="1:15" x14ac:dyDescent="0.25">
      <c r="A46" s="39"/>
      <c r="B46" s="46"/>
      <c r="C46" s="39"/>
      <c r="D46" s="39"/>
      <c r="E46" s="39"/>
      <c r="F46" s="39"/>
    </row>
    <row r="47" spans="1:15" x14ac:dyDescent="0.25">
      <c r="B47" s="41"/>
      <c r="C47" s="47"/>
      <c r="D47" s="47"/>
      <c r="E47" s="47"/>
    </row>
    <row r="50" spans="7:13" x14ac:dyDescent="0.25">
      <c r="G50" s="44"/>
    </row>
    <row r="51" spans="7:13" x14ac:dyDescent="0.25">
      <c r="G51" s="44"/>
      <c r="H51" s="44"/>
      <c r="I51" s="44"/>
      <c r="J51" s="39"/>
      <c r="K51" s="45"/>
      <c r="L51" s="44"/>
      <c r="M51" s="39"/>
    </row>
    <row r="52" spans="7:13" x14ac:dyDescent="0.25">
      <c r="G52" s="39"/>
      <c r="H52" s="44"/>
      <c r="I52" s="44"/>
      <c r="J52" s="39"/>
      <c r="K52" s="45"/>
      <c r="L52" s="44"/>
      <c r="M52" s="39"/>
    </row>
    <row r="53" spans="7:13" x14ac:dyDescent="0.25">
      <c r="G53" s="39"/>
      <c r="H53" s="39"/>
      <c r="I53" s="39"/>
      <c r="J53" s="39"/>
      <c r="K53" s="48"/>
      <c r="L53" s="39"/>
      <c r="M53" s="49"/>
    </row>
  </sheetData>
  <sheetProtection algorithmName="SHA-512" hashValue="/7nX8nUZizw5W+wKvjKHlTs87GeVkswi4/QOmmnntvLI1qCbKo5a7dsPYwdyePFtYIki0L6OmjvoXEO0kNZ93Q==" saltValue="hBLhyHHlmjgRqu6vIoZdOQ==" spinCount="100000" sheet="1" objects="1" scenarios="1"/>
  <pageMargins left="0.7" right="0.7" top="0.75" bottom="0.75" header="0.3" footer="0.3"/>
  <pageSetup scale="93" orientation="landscape" r:id="rId1"/>
  <rowBreaks count="1" manualBreakCount="1">
    <brk id="31" max="16383" man="1"/>
  </rowBreaks>
  <ignoredErrors>
    <ignoredError sqref="C6:D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FD306-A543-4EF0-B355-5D13B2F66D5F}">
  <dimension ref="A1:M29"/>
  <sheetViews>
    <sheetView zoomScaleNormal="100" workbookViewId="0">
      <selection activeCell="F16" sqref="F16"/>
    </sheetView>
  </sheetViews>
  <sheetFormatPr defaultRowHeight="13.5" x14ac:dyDescent="0.25"/>
  <cols>
    <col min="1" max="1" width="22.5703125" style="2" customWidth="1"/>
    <col min="2" max="2" width="14.5703125" style="2" bestFit="1" customWidth="1"/>
    <col min="3" max="3" width="13.7109375" style="2" customWidth="1"/>
    <col min="4" max="4" width="14.7109375" style="2" bestFit="1" customWidth="1"/>
    <col min="5" max="6" width="13.140625" style="2" customWidth="1"/>
    <col min="7" max="7" width="15.7109375" style="2" customWidth="1"/>
    <col min="8" max="8" width="14.42578125" style="2" customWidth="1"/>
    <col min="9" max="9" width="11.140625" style="2" customWidth="1"/>
    <col min="10" max="10" width="11.5703125" style="2" bestFit="1" customWidth="1"/>
    <col min="11" max="11" width="14.5703125" style="2" bestFit="1" customWidth="1"/>
    <col min="12" max="12" width="15.85546875" style="2" customWidth="1"/>
    <col min="13" max="13" width="14" style="2" customWidth="1"/>
    <col min="14" max="14" width="11" style="2" bestFit="1" customWidth="1"/>
    <col min="15" max="16384" width="9.140625" style="2"/>
  </cols>
  <sheetData>
    <row r="1" spans="1:13" ht="15.75" x14ac:dyDescent="0.25">
      <c r="A1" s="50"/>
    </row>
    <row r="2" spans="1:13" ht="20.25" customHeight="1" x14ac:dyDescent="0.25">
      <c r="A2" s="50"/>
    </row>
    <row r="3" spans="1:13" x14ac:dyDescent="0.25">
      <c r="A3" s="39"/>
      <c r="B3" s="45"/>
      <c r="C3" s="39"/>
      <c r="D3" s="39"/>
      <c r="E3" s="39"/>
      <c r="F3" s="39"/>
      <c r="G3" s="39"/>
      <c r="H3" s="39"/>
      <c r="I3" s="39"/>
      <c r="J3" s="39"/>
      <c r="K3" s="48"/>
      <c r="L3" s="39"/>
      <c r="M3" s="49"/>
    </row>
    <row r="4" spans="1:13" x14ac:dyDescent="0.25">
      <c r="A4" s="51" t="s">
        <v>33</v>
      </c>
      <c r="B4" s="45"/>
      <c r="C4" s="39"/>
      <c r="D4" s="39"/>
      <c r="E4" s="39"/>
      <c r="F4" s="39"/>
      <c r="G4" s="39"/>
    </row>
    <row r="5" spans="1:13" ht="24" x14ac:dyDescent="0.25">
      <c r="A5" s="52"/>
      <c r="B5" s="53" t="s">
        <v>34</v>
      </c>
      <c r="C5" s="54" t="s">
        <v>35</v>
      </c>
      <c r="D5" s="55" t="s">
        <v>36</v>
      </c>
      <c r="E5" s="55" t="s">
        <v>37</v>
      </c>
      <c r="F5" s="55" t="s">
        <v>38</v>
      </c>
      <c r="G5" s="56" t="s">
        <v>39</v>
      </c>
    </row>
    <row r="6" spans="1:13" x14ac:dyDescent="0.25">
      <c r="A6" s="39"/>
      <c r="B6" s="45"/>
      <c r="C6" s="39"/>
      <c r="D6" s="57"/>
      <c r="E6" s="57"/>
      <c r="F6" s="39"/>
      <c r="G6" s="39"/>
    </row>
    <row r="7" spans="1:13" ht="19.5" customHeight="1" x14ac:dyDescent="0.25">
      <c r="A7" s="39" t="s">
        <v>40</v>
      </c>
      <c r="B7" s="46">
        <v>1000</v>
      </c>
      <c r="C7" s="58">
        <v>12000</v>
      </c>
      <c r="D7" s="58">
        <f>SUM(C7*7.65%)</f>
        <v>918</v>
      </c>
      <c r="E7" s="59">
        <v>38.57</v>
      </c>
      <c r="F7" s="58">
        <f>SUM(111.8*12)</f>
        <v>1341.6</v>
      </c>
      <c r="G7" s="60">
        <f>SUM(C7:F7)</f>
        <v>14298.17</v>
      </c>
    </row>
    <row r="8" spans="1:13" ht="16.5" customHeight="1" x14ac:dyDescent="0.25">
      <c r="A8" s="39" t="s">
        <v>41</v>
      </c>
      <c r="B8" s="46">
        <v>250</v>
      </c>
      <c r="C8" s="58">
        <v>3000</v>
      </c>
      <c r="D8" s="58">
        <f t="shared" ref="D8:D13" si="0">SUM(C8*7.65%)</f>
        <v>229.5</v>
      </c>
      <c r="E8" s="59">
        <v>38.57</v>
      </c>
      <c r="F8" s="58">
        <f t="shared" ref="F8:F13" si="1">SUM(27.95*12)</f>
        <v>335.4</v>
      </c>
      <c r="G8" s="60">
        <f>SUM(C8:F8)</f>
        <v>3603.4700000000003</v>
      </c>
    </row>
    <row r="9" spans="1:13" ht="18" customHeight="1" x14ac:dyDescent="0.25">
      <c r="A9" s="39" t="s">
        <v>41</v>
      </c>
      <c r="B9" s="46">
        <v>250</v>
      </c>
      <c r="C9" s="58">
        <v>3000</v>
      </c>
      <c r="D9" s="58">
        <f t="shared" si="0"/>
        <v>229.5</v>
      </c>
      <c r="E9" s="59">
        <v>38.57</v>
      </c>
      <c r="F9" s="58">
        <f t="shared" si="1"/>
        <v>335.4</v>
      </c>
      <c r="G9" s="60">
        <f>SUM(C9:F9)</f>
        <v>3603.4700000000003</v>
      </c>
    </row>
    <row r="10" spans="1:13" ht="17.25" customHeight="1" x14ac:dyDescent="0.25">
      <c r="A10" s="39" t="s">
        <v>41</v>
      </c>
      <c r="B10" s="46">
        <v>250</v>
      </c>
      <c r="C10" s="58">
        <v>3000</v>
      </c>
      <c r="D10" s="58">
        <f t="shared" si="0"/>
        <v>229.5</v>
      </c>
      <c r="E10" s="59">
        <v>38.57</v>
      </c>
      <c r="F10" s="58">
        <f t="shared" si="1"/>
        <v>335.4</v>
      </c>
      <c r="G10" s="60">
        <f>SUM(C10:F10)</f>
        <v>3603.4700000000003</v>
      </c>
    </row>
    <row r="11" spans="1:13" ht="17.25" customHeight="1" x14ac:dyDescent="0.25">
      <c r="A11" s="39" t="s">
        <v>41</v>
      </c>
      <c r="B11" s="46">
        <v>250</v>
      </c>
      <c r="C11" s="58">
        <v>3000</v>
      </c>
      <c r="D11" s="58">
        <f t="shared" si="0"/>
        <v>229.5</v>
      </c>
      <c r="E11" s="59">
        <v>38.57</v>
      </c>
      <c r="F11" s="58">
        <f t="shared" si="1"/>
        <v>335.4</v>
      </c>
      <c r="G11" s="60">
        <f t="shared" ref="G11:G13" si="2">SUM(C11:F11)</f>
        <v>3603.4700000000003</v>
      </c>
    </row>
    <row r="12" spans="1:13" ht="17.25" customHeight="1" x14ac:dyDescent="0.25">
      <c r="A12" s="39" t="s">
        <v>41</v>
      </c>
      <c r="B12" s="46">
        <v>250</v>
      </c>
      <c r="C12" s="58">
        <v>3000</v>
      </c>
      <c r="D12" s="58">
        <f t="shared" si="0"/>
        <v>229.5</v>
      </c>
      <c r="E12" s="59">
        <v>38.57</v>
      </c>
      <c r="F12" s="58">
        <f t="shared" si="1"/>
        <v>335.4</v>
      </c>
      <c r="G12" s="60">
        <f t="shared" si="2"/>
        <v>3603.4700000000003</v>
      </c>
    </row>
    <row r="13" spans="1:13" ht="17.25" customHeight="1" x14ac:dyDescent="0.25">
      <c r="A13" s="39" t="s">
        <v>41</v>
      </c>
      <c r="B13" s="46">
        <v>250</v>
      </c>
      <c r="C13" s="58">
        <v>3000</v>
      </c>
      <c r="D13" s="58">
        <f t="shared" si="0"/>
        <v>229.5</v>
      </c>
      <c r="E13" s="59">
        <v>38.57</v>
      </c>
      <c r="F13" s="58">
        <f t="shared" si="1"/>
        <v>335.4</v>
      </c>
      <c r="G13" s="60">
        <f t="shared" si="2"/>
        <v>3603.4700000000003</v>
      </c>
    </row>
    <row r="14" spans="1:13" x14ac:dyDescent="0.25">
      <c r="A14" s="39"/>
      <c r="B14" s="46"/>
      <c r="C14" s="58"/>
      <c r="D14" s="58"/>
      <c r="E14" s="58"/>
      <c r="F14" s="58"/>
      <c r="G14" s="39"/>
    </row>
    <row r="15" spans="1:13" x14ac:dyDescent="0.25">
      <c r="A15" s="61" t="s">
        <v>42</v>
      </c>
      <c r="B15" s="62">
        <f>SUM(B7:B13)</f>
        <v>2500</v>
      </c>
      <c r="C15" s="63">
        <f>SUM(C7:C13)</f>
        <v>30000</v>
      </c>
      <c r="D15" s="63">
        <f>SUM(D7:D13)</f>
        <v>2295</v>
      </c>
      <c r="E15" s="63">
        <f>SUM(0.009*C15)</f>
        <v>270</v>
      </c>
      <c r="F15" s="63">
        <f>SUM(F7:F13)</f>
        <v>3354.0000000000005</v>
      </c>
      <c r="G15" s="64">
        <f>SUM(G7:G13)</f>
        <v>35918.990000000005</v>
      </c>
    </row>
    <row r="16" spans="1:13" x14ac:dyDescent="0.25">
      <c r="A16" s="39"/>
      <c r="B16" s="46"/>
      <c r="C16" s="39"/>
      <c r="D16" s="39"/>
      <c r="E16" s="39"/>
      <c r="F16" s="39"/>
      <c r="G16" s="39"/>
    </row>
    <row r="17" spans="1:5" ht="21" x14ac:dyDescent="0.25">
      <c r="A17" s="42"/>
    </row>
    <row r="19" spans="1:5" x14ac:dyDescent="0.25">
      <c r="B19" s="3"/>
      <c r="C19" s="3"/>
      <c r="D19" s="3"/>
      <c r="E19" s="3"/>
    </row>
    <row r="20" spans="1:5" x14ac:dyDescent="0.25">
      <c r="B20" s="9"/>
      <c r="C20" s="9"/>
      <c r="D20" s="9"/>
      <c r="E20" s="9"/>
    </row>
    <row r="21" spans="1:5" x14ac:dyDescent="0.25">
      <c r="B21" s="9"/>
      <c r="C21" s="9"/>
      <c r="D21" s="9"/>
      <c r="E21" s="9"/>
    </row>
    <row r="22" spans="1:5" x14ac:dyDescent="0.25">
      <c r="B22" s="9"/>
      <c r="C22" s="9"/>
      <c r="D22" s="9"/>
      <c r="E22" s="9"/>
    </row>
    <row r="23" spans="1:5" x14ac:dyDescent="0.25">
      <c r="B23" s="8"/>
      <c r="C23" s="8"/>
      <c r="D23" s="8"/>
      <c r="E23" s="8"/>
    </row>
    <row r="24" spans="1:5" x14ac:dyDescent="0.25">
      <c r="B24" s="8"/>
      <c r="C24" s="8"/>
      <c r="D24" s="8"/>
      <c r="E24" s="8"/>
    </row>
    <row r="25" spans="1:5" x14ac:dyDescent="0.25">
      <c r="B25" s="8"/>
      <c r="C25" s="8"/>
      <c r="D25" s="8"/>
      <c r="E25" s="8"/>
    </row>
    <row r="27" spans="1:5" x14ac:dyDescent="0.25">
      <c r="B27" s="16"/>
      <c r="C27" s="16"/>
      <c r="D27" s="16"/>
      <c r="E27" s="16"/>
    </row>
    <row r="29" spans="1:5" x14ac:dyDescent="0.25">
      <c r="B29" s="41"/>
      <c r="C29" s="65"/>
      <c r="D29" s="65"/>
      <c r="E29" s="65"/>
    </row>
  </sheetData>
  <sheetProtection algorithmName="SHA-512" hashValue="ufTBE3jiuFgVZvVDGHpcvn/TtKLP1RykD4sWZbFGHQfUPzD07zPKDqZy0AJkdh1szvTa//XaKqwPdR7m/WlM1w==" saltValue="1d+7/TRg0wEgEZmiqMQsnw==" spinCount="100000" sheet="1" objects="1" scenarios="1"/>
  <pageMargins left="0.7" right="0.7" top="0.75" bottom="0.75" header="0.3" footer="0.3"/>
  <pageSetup orientation="landscape" verticalDpi="0" r:id="rId1"/>
  <ignoredErrors>
    <ignoredError sqref="E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3C095-5130-42B6-80E9-FBC88177D7A6}">
  <sheetPr>
    <pageSetUpPr fitToPage="1"/>
  </sheetPr>
  <dimension ref="A1:M54"/>
  <sheetViews>
    <sheetView topLeftCell="A6" zoomScaleNormal="100" workbookViewId="0">
      <selection activeCell="F16" sqref="F16"/>
    </sheetView>
  </sheetViews>
  <sheetFormatPr defaultRowHeight="13.5" x14ac:dyDescent="0.25"/>
  <cols>
    <col min="1" max="1" width="33" style="2" customWidth="1"/>
    <col min="2" max="2" width="14.140625" style="2" bestFit="1" customWidth="1"/>
    <col min="3" max="3" width="16" style="2" customWidth="1"/>
    <col min="4" max="4" width="17.140625" style="2" bestFit="1" customWidth="1"/>
    <col min="5" max="5" width="15.85546875" style="2" bestFit="1" customWidth="1"/>
    <col min="6" max="6" width="15.140625" style="2" customWidth="1"/>
    <col min="7" max="7" width="14.140625" style="2" customWidth="1"/>
    <col min="8" max="8" width="13.5703125" style="2" customWidth="1"/>
    <col min="9" max="9" width="23" style="2" bestFit="1" customWidth="1"/>
    <col min="10" max="10" width="13.85546875" style="2" customWidth="1"/>
    <col min="11" max="11" width="16.42578125" style="2" customWidth="1"/>
    <col min="12" max="12" width="14.5703125" style="2" customWidth="1"/>
    <col min="13" max="13" width="12" style="2" bestFit="1" customWidth="1"/>
    <col min="14" max="16384" width="9.140625" style="2"/>
  </cols>
  <sheetData>
    <row r="1" spans="1:13" ht="18.75" x14ac:dyDescent="0.25">
      <c r="A1" s="66" t="s">
        <v>43</v>
      </c>
      <c r="B1" s="66"/>
      <c r="C1" s="66"/>
      <c r="D1" s="66"/>
      <c r="E1" s="66"/>
      <c r="F1" s="66"/>
      <c r="G1" s="66"/>
    </row>
    <row r="2" spans="1:13" ht="15.75" x14ac:dyDescent="0.25">
      <c r="A2" s="50"/>
    </row>
    <row r="3" spans="1:13" ht="15" customHeight="1" x14ac:dyDescent="0.25">
      <c r="A3" s="5"/>
      <c r="B3" s="6" t="s">
        <v>44</v>
      </c>
      <c r="C3" s="6" t="s">
        <v>45</v>
      </c>
      <c r="D3" s="6" t="s">
        <v>46</v>
      </c>
      <c r="E3" s="7" t="s">
        <v>5</v>
      </c>
      <c r="H3" s="3"/>
      <c r="I3" s="3"/>
      <c r="J3" s="3"/>
      <c r="K3" s="3"/>
      <c r="L3" s="144"/>
      <c r="M3" s="144"/>
    </row>
    <row r="4" spans="1:13" x14ac:dyDescent="0.25">
      <c r="A4" s="5"/>
      <c r="B4" s="6"/>
      <c r="C4" s="5"/>
      <c r="D4" s="6" t="s">
        <v>47</v>
      </c>
      <c r="E4" s="10"/>
      <c r="J4" s="43"/>
      <c r="L4" s="145"/>
      <c r="M4" s="145"/>
    </row>
    <row r="5" spans="1:13" x14ac:dyDescent="0.25">
      <c r="A5" s="5" t="s">
        <v>8</v>
      </c>
      <c r="B5" s="11">
        <v>43.27</v>
      </c>
      <c r="C5" s="11">
        <v>27</v>
      </c>
      <c r="D5" s="11">
        <v>25.31</v>
      </c>
      <c r="E5" s="12"/>
      <c r="H5" s="9"/>
      <c r="I5" s="9"/>
      <c r="J5" s="9"/>
      <c r="K5" s="9"/>
      <c r="L5" s="143"/>
      <c r="M5" s="143"/>
    </row>
    <row r="6" spans="1:13" x14ac:dyDescent="0.25">
      <c r="A6" s="5" t="s">
        <v>9</v>
      </c>
      <c r="B6" s="11">
        <f>SUM(B5*2080)</f>
        <v>90001.600000000006</v>
      </c>
      <c r="C6" s="11">
        <f>SUM(C5*2080)</f>
        <v>56160</v>
      </c>
      <c r="D6" s="11">
        <f>SUM(8*52)*25.31</f>
        <v>10528.96</v>
      </c>
      <c r="E6" s="12">
        <f>SUM(B6:D6)</f>
        <v>156690.56</v>
      </c>
      <c r="H6" s="9"/>
      <c r="I6" s="9"/>
      <c r="J6" s="9"/>
      <c r="K6" s="9"/>
      <c r="L6" s="143"/>
      <c r="M6" s="143"/>
    </row>
    <row r="7" spans="1:13" x14ac:dyDescent="0.25">
      <c r="A7" s="5" t="s">
        <v>48</v>
      </c>
      <c r="B7" s="5"/>
      <c r="C7" s="11">
        <v>5000</v>
      </c>
      <c r="D7" s="15"/>
      <c r="E7" s="12">
        <f>SUM(B7:D7)</f>
        <v>5000</v>
      </c>
      <c r="H7" s="9"/>
      <c r="I7" s="9"/>
      <c r="K7" s="9"/>
      <c r="L7" s="141"/>
      <c r="M7" s="141"/>
    </row>
    <row r="8" spans="1:13" x14ac:dyDescent="0.25">
      <c r="A8" s="5" t="s">
        <v>10</v>
      </c>
      <c r="B8" s="11">
        <v>10420</v>
      </c>
      <c r="C8" s="11">
        <v>10420</v>
      </c>
      <c r="D8" s="11"/>
      <c r="E8" s="12">
        <f>SUM(B8:D8)</f>
        <v>20840</v>
      </c>
      <c r="H8" s="9"/>
      <c r="I8" s="9"/>
      <c r="K8" s="9"/>
      <c r="L8" s="143"/>
      <c r="M8" s="143"/>
    </row>
    <row r="9" spans="1:13" x14ac:dyDescent="0.25">
      <c r="A9" s="10" t="s">
        <v>11</v>
      </c>
      <c r="B9" s="11">
        <f>SUM(B6*11.96%)</f>
        <v>10764.191360000003</v>
      </c>
      <c r="C9" s="11">
        <f>SUM(C6+C7)*11.96%</f>
        <v>7314.7360000000008</v>
      </c>
      <c r="D9" s="11">
        <f>D6*11.96%</f>
        <v>1259.263616</v>
      </c>
      <c r="E9" s="12">
        <f>SUM(B9:D9)</f>
        <v>19338.190976000002</v>
      </c>
      <c r="H9" s="9"/>
      <c r="I9" s="9"/>
      <c r="K9" s="9"/>
      <c r="L9" s="143"/>
      <c r="M9" s="143"/>
    </row>
    <row r="10" spans="1:13" x14ac:dyDescent="0.25">
      <c r="A10" s="10" t="s">
        <v>12</v>
      </c>
      <c r="B10" s="11">
        <f>SUM(B6*7.65%)</f>
        <v>6885.1224000000002</v>
      </c>
      <c r="C10" s="11">
        <f>SUM(C6+C7)*7.65%</f>
        <v>4678.74</v>
      </c>
      <c r="D10" s="11">
        <f>D6*7.65%</f>
        <v>805.46543999999994</v>
      </c>
      <c r="E10" s="12">
        <f>SUM(B10:D10)</f>
        <v>12369.32784</v>
      </c>
      <c r="F10" s="14"/>
      <c r="H10" s="9"/>
      <c r="I10" s="9"/>
      <c r="J10" s="9"/>
      <c r="K10" s="9"/>
      <c r="L10" s="143"/>
      <c r="M10" s="143"/>
    </row>
    <row r="11" spans="1:13" x14ac:dyDescent="0.25">
      <c r="A11" s="67"/>
      <c r="B11" s="18"/>
      <c r="C11" s="18"/>
      <c r="D11" s="18"/>
      <c r="E11" s="19"/>
      <c r="F11" s="14"/>
      <c r="H11" s="9"/>
      <c r="I11" s="9"/>
      <c r="J11" s="9"/>
      <c r="K11" s="9"/>
      <c r="L11" s="9"/>
      <c r="M11" s="9"/>
    </row>
    <row r="12" spans="1:13" ht="14.25" thickBot="1" x14ac:dyDescent="0.3">
      <c r="A12" s="17" t="s">
        <v>49</v>
      </c>
      <c r="B12" s="18"/>
      <c r="C12" s="18"/>
      <c r="D12" s="18"/>
      <c r="E12" s="19">
        <v>3605</v>
      </c>
      <c r="H12" s="9"/>
      <c r="I12" s="9"/>
      <c r="J12" s="9"/>
      <c r="K12" s="9"/>
      <c r="L12" s="143"/>
      <c r="M12" s="143"/>
    </row>
    <row r="13" spans="1:13" x14ac:dyDescent="0.25">
      <c r="A13" s="68" t="s">
        <v>13</v>
      </c>
      <c r="B13" s="69">
        <f>SUM(B6:B12)</f>
        <v>118070.91376</v>
      </c>
      <c r="C13" s="69">
        <f>SUM(C6:C12)</f>
        <v>83573.47600000001</v>
      </c>
      <c r="D13" s="69">
        <f>SUM(D6:D12)</f>
        <v>12593.689055999999</v>
      </c>
      <c r="E13" s="70">
        <f>SUM(E6:E12)</f>
        <v>217843.07881600002</v>
      </c>
      <c r="G13" s="26"/>
      <c r="H13" s="71"/>
      <c r="I13" s="71"/>
      <c r="J13" s="71"/>
      <c r="K13" s="71"/>
      <c r="L13" s="9"/>
      <c r="M13" s="9"/>
    </row>
    <row r="14" spans="1:13" x14ac:dyDescent="0.25">
      <c r="A14" s="29"/>
      <c r="B14" s="72"/>
      <c r="C14" s="72"/>
      <c r="D14" s="72"/>
      <c r="E14" s="72"/>
      <c r="H14" s="9"/>
      <c r="I14" s="9"/>
      <c r="K14" s="9"/>
      <c r="L14" s="143"/>
      <c r="M14" s="143"/>
    </row>
    <row r="15" spans="1:13" ht="15.75" customHeight="1" x14ac:dyDescent="0.25">
      <c r="A15" s="26" t="s">
        <v>14</v>
      </c>
      <c r="B15" s="16"/>
      <c r="C15" s="16"/>
      <c r="D15" s="16"/>
      <c r="E15" s="16"/>
      <c r="H15" s="9"/>
      <c r="I15" s="9"/>
      <c r="J15" s="9"/>
      <c r="K15" s="9"/>
      <c r="L15" s="141"/>
      <c r="M15" s="141"/>
    </row>
    <row r="16" spans="1:13" x14ac:dyDescent="0.25">
      <c r="A16" s="2" t="s">
        <v>15</v>
      </c>
      <c r="B16" s="9">
        <f>SUM(B5)*112</f>
        <v>4846.2400000000007</v>
      </c>
      <c r="C16" s="9">
        <f>SUM(C5)*112</f>
        <v>3024</v>
      </c>
      <c r="D16" s="9"/>
      <c r="E16" s="9">
        <f>SUM(B16:D16)</f>
        <v>7870.2400000000007</v>
      </c>
      <c r="H16" s="9"/>
      <c r="I16" s="9"/>
      <c r="J16" s="9"/>
      <c r="K16" s="9"/>
      <c r="L16" s="143"/>
      <c r="M16" s="143"/>
    </row>
    <row r="17" spans="1:13" x14ac:dyDescent="0.25">
      <c r="A17" s="2" t="s">
        <v>17</v>
      </c>
      <c r="B17" s="9">
        <f>SUM(B5)*80.08</f>
        <v>3465.0616</v>
      </c>
      <c r="C17" s="9">
        <f>SUM(C5)*80.08</f>
        <v>2162.16</v>
      </c>
      <c r="D17" s="9"/>
      <c r="E17" s="9">
        <f t="shared" ref="E17:E21" si="0">SUM(B17:D17)</f>
        <v>5627.2215999999999</v>
      </c>
      <c r="L17" s="141"/>
      <c r="M17" s="141"/>
    </row>
    <row r="18" spans="1:13" x14ac:dyDescent="0.25">
      <c r="A18" s="2" t="s">
        <v>16</v>
      </c>
      <c r="B18" s="9">
        <f>SUM(B5)*96.2</f>
        <v>4162.5740000000005</v>
      </c>
      <c r="C18" s="9">
        <f>SUM(C5*96.2)</f>
        <v>2597.4</v>
      </c>
      <c r="D18" s="9"/>
      <c r="E18" s="9">
        <f t="shared" si="0"/>
        <v>6759.9740000000002</v>
      </c>
      <c r="H18" s="16"/>
      <c r="I18" s="16"/>
      <c r="J18" s="16"/>
      <c r="K18" s="16"/>
      <c r="L18" s="142"/>
      <c r="M18" s="142"/>
    </row>
    <row r="19" spans="1:13" x14ac:dyDescent="0.25">
      <c r="A19" s="2" t="s">
        <v>10</v>
      </c>
      <c r="B19" s="9">
        <v>10420</v>
      </c>
      <c r="C19" s="9">
        <v>10420</v>
      </c>
      <c r="D19" s="9"/>
      <c r="E19" s="9">
        <f t="shared" si="0"/>
        <v>20840</v>
      </c>
      <c r="K19" s="9"/>
      <c r="L19" s="141"/>
      <c r="M19" s="141"/>
    </row>
    <row r="20" spans="1:13" x14ac:dyDescent="0.25">
      <c r="A20" s="2" t="s">
        <v>11</v>
      </c>
      <c r="B20" s="9">
        <f>B9</f>
        <v>10764.191360000003</v>
      </c>
      <c r="C20" s="9">
        <f>C9</f>
        <v>7314.7360000000008</v>
      </c>
      <c r="D20" s="9"/>
      <c r="E20" s="9">
        <f t="shared" si="0"/>
        <v>18078.927360000001</v>
      </c>
      <c r="K20" s="9"/>
      <c r="L20" s="141"/>
      <c r="M20" s="141"/>
    </row>
    <row r="21" spans="1:13" ht="23.25" customHeight="1" x14ac:dyDescent="0.25">
      <c r="A21" s="2" t="s">
        <v>12</v>
      </c>
      <c r="B21" s="16">
        <f>B10</f>
        <v>6885.1224000000002</v>
      </c>
      <c r="C21" s="16">
        <f>C10</f>
        <v>4678.74</v>
      </c>
      <c r="D21" s="16"/>
      <c r="E21" s="9">
        <f t="shared" si="0"/>
        <v>11563.8624</v>
      </c>
    </row>
    <row r="22" spans="1:13" x14ac:dyDescent="0.25">
      <c r="A22" s="27" t="s">
        <v>18</v>
      </c>
      <c r="B22" s="28">
        <f>SUM(B16:B21)</f>
        <v>40543.189360000004</v>
      </c>
      <c r="C22" s="28">
        <f t="shared" ref="C22:E22" si="1">SUM(C16:C21)</f>
        <v>30197.036</v>
      </c>
      <c r="D22" s="28">
        <f t="shared" si="1"/>
        <v>0</v>
      </c>
      <c r="E22" s="28">
        <f t="shared" si="1"/>
        <v>70740.225359999997</v>
      </c>
    </row>
    <row r="23" spans="1:13" x14ac:dyDescent="0.25">
      <c r="A23" s="23"/>
      <c r="B23" s="73"/>
      <c r="C23" s="73"/>
      <c r="D23" s="73"/>
      <c r="E23" s="73"/>
    </row>
    <row r="24" spans="1:13" ht="27" x14ac:dyDescent="0.25">
      <c r="A24" s="29" t="s">
        <v>19</v>
      </c>
      <c r="B24" s="30" t="s">
        <v>20</v>
      </c>
      <c r="C24" s="30" t="s">
        <v>21</v>
      </c>
      <c r="D24" s="30" t="s">
        <v>22</v>
      </c>
      <c r="E24" s="30" t="s">
        <v>23</v>
      </c>
      <c r="F24" s="30" t="s">
        <v>24</v>
      </c>
      <c r="G24" s="74" t="s">
        <v>50</v>
      </c>
      <c r="H24" s="31" t="s">
        <v>26</v>
      </c>
    </row>
    <row r="25" spans="1:13" x14ac:dyDescent="0.25">
      <c r="A25" s="5" t="s">
        <v>27</v>
      </c>
      <c r="B25" s="11">
        <v>163928</v>
      </c>
      <c r="C25" s="11">
        <v>62184.959999999999</v>
      </c>
      <c r="D25" s="11">
        <v>25433.99</v>
      </c>
      <c r="E25" s="11">
        <v>69974.559999999998</v>
      </c>
      <c r="F25" s="11">
        <v>143520</v>
      </c>
      <c r="G25" s="75">
        <f>E6</f>
        <v>156690.56</v>
      </c>
      <c r="H25" s="15">
        <f>SUM(G25-F25)</f>
        <v>13170.559999999998</v>
      </c>
    </row>
    <row r="26" spans="1:13" x14ac:dyDescent="0.25">
      <c r="A26" s="5" t="s">
        <v>51</v>
      </c>
      <c r="B26" s="11"/>
      <c r="C26" s="11"/>
      <c r="D26" s="11"/>
      <c r="E26" s="11"/>
      <c r="F26" s="11"/>
      <c r="G26" s="75">
        <v>5000</v>
      </c>
      <c r="H26" s="15">
        <f t="shared" ref="H26:H32" si="2">SUM(G26-F26)</f>
        <v>5000</v>
      </c>
    </row>
    <row r="27" spans="1:13" x14ac:dyDescent="0.25">
      <c r="A27" s="5" t="s">
        <v>28</v>
      </c>
      <c r="B27" s="11">
        <v>26298</v>
      </c>
      <c r="C27" s="11">
        <v>12578.66</v>
      </c>
      <c r="D27" s="11">
        <v>4756.29</v>
      </c>
      <c r="E27" s="11">
        <v>13022.23</v>
      </c>
      <c r="F27" s="11">
        <v>25200</v>
      </c>
      <c r="G27" s="75">
        <f>E8</f>
        <v>20840</v>
      </c>
      <c r="H27" s="15">
        <f t="shared" si="2"/>
        <v>-4360</v>
      </c>
    </row>
    <row r="28" spans="1:13" x14ac:dyDescent="0.25">
      <c r="A28" s="5" t="s">
        <v>11</v>
      </c>
      <c r="B28" s="11">
        <v>17782</v>
      </c>
      <c r="C28" s="11">
        <v>8357.66</v>
      </c>
      <c r="D28" s="11">
        <v>2807.3</v>
      </c>
      <c r="E28" s="11">
        <v>8090.52</v>
      </c>
      <c r="F28" s="11">
        <v>17164.990000000002</v>
      </c>
      <c r="G28" s="76">
        <f>SUM(G25+G26)*11.96%</f>
        <v>19338.190976000002</v>
      </c>
      <c r="H28" s="15">
        <f t="shared" si="2"/>
        <v>2173.2009760000001</v>
      </c>
    </row>
    <row r="29" spans="1:13" x14ac:dyDescent="0.25">
      <c r="A29" s="5" t="s">
        <v>52</v>
      </c>
      <c r="B29" s="11">
        <v>11392.99</v>
      </c>
      <c r="C29" s="11">
        <v>4757.1499999999996</v>
      </c>
      <c r="D29" s="11">
        <v>1945.72</v>
      </c>
      <c r="E29" s="11">
        <v>5326.06</v>
      </c>
      <c r="F29" s="11">
        <v>10979.28</v>
      </c>
      <c r="G29" s="75">
        <f>SUM(E6,E7)*7.65%</f>
        <v>12369.32784</v>
      </c>
      <c r="H29" s="15">
        <f t="shared" si="2"/>
        <v>1390.0478399999993</v>
      </c>
    </row>
    <row r="30" spans="1:13" x14ac:dyDescent="0.25">
      <c r="A30" s="5" t="s">
        <v>53</v>
      </c>
      <c r="B30" s="11">
        <v>0</v>
      </c>
      <c r="C30" s="11">
        <v>3199.46</v>
      </c>
      <c r="D30" s="11">
        <v>147.86000000000001</v>
      </c>
      <c r="E30" s="11">
        <v>164.62</v>
      </c>
      <c r="F30" s="11">
        <v>58.58</v>
      </c>
      <c r="G30" s="75"/>
      <c r="H30" s="15">
        <f t="shared" si="2"/>
        <v>-58.58</v>
      </c>
    </row>
    <row r="31" spans="1:13" x14ac:dyDescent="0.25">
      <c r="A31" s="5"/>
      <c r="B31" s="11"/>
      <c r="C31" s="11"/>
      <c r="D31" s="11"/>
      <c r="E31" s="11"/>
      <c r="F31" s="11"/>
      <c r="G31" s="75"/>
      <c r="H31" s="15">
        <f t="shared" si="2"/>
        <v>0</v>
      </c>
    </row>
    <row r="32" spans="1:13" x14ac:dyDescent="0.25">
      <c r="A32" s="5" t="s">
        <v>49</v>
      </c>
      <c r="B32" s="11">
        <v>2880</v>
      </c>
      <c r="C32" s="11">
        <v>0</v>
      </c>
      <c r="D32" s="11"/>
      <c r="E32" s="11">
        <v>840</v>
      </c>
      <c r="F32" s="11">
        <v>3500</v>
      </c>
      <c r="G32" s="75">
        <v>3605</v>
      </c>
      <c r="H32" s="15">
        <f t="shared" si="2"/>
        <v>105</v>
      </c>
    </row>
    <row r="33" spans="1:8" x14ac:dyDescent="0.25">
      <c r="A33" s="5" t="s">
        <v>32</v>
      </c>
      <c r="B33" s="11">
        <f t="shared" ref="B33:G33" si="3">SUM(B25:B32)</f>
        <v>222280.99</v>
      </c>
      <c r="C33" s="11">
        <f t="shared" si="3"/>
        <v>91077.89</v>
      </c>
      <c r="D33" s="11">
        <f t="shared" si="3"/>
        <v>35091.160000000003</v>
      </c>
      <c r="E33" s="11">
        <f t="shared" si="3"/>
        <v>97417.989999999991</v>
      </c>
      <c r="F33" s="11">
        <f t="shared" si="3"/>
        <v>200422.84999999998</v>
      </c>
      <c r="G33" s="75">
        <f t="shared" si="3"/>
        <v>217843.07881600002</v>
      </c>
      <c r="H33" s="15">
        <f>SUM(G33-F33)</f>
        <v>17420.228816000046</v>
      </c>
    </row>
    <row r="34" spans="1:8" x14ac:dyDescent="0.25">
      <c r="A34" s="77"/>
      <c r="B34" s="73"/>
      <c r="C34" s="73"/>
      <c r="D34" s="78"/>
      <c r="E34" s="9"/>
      <c r="F34" s="9"/>
    </row>
    <row r="35" spans="1:8" ht="18.75" x14ac:dyDescent="0.25">
      <c r="A35" s="1"/>
    </row>
    <row r="37" spans="1:8" x14ac:dyDescent="0.25">
      <c r="B37" s="3"/>
      <c r="C37" s="3"/>
      <c r="D37" s="3"/>
      <c r="E37" s="3"/>
    </row>
    <row r="38" spans="1:8" x14ac:dyDescent="0.25">
      <c r="B38" s="9"/>
      <c r="C38" s="9"/>
      <c r="D38" s="9"/>
      <c r="E38" s="9"/>
    </row>
    <row r="39" spans="1:8" x14ac:dyDescent="0.25">
      <c r="B39" s="9"/>
      <c r="C39" s="9"/>
      <c r="D39" s="9"/>
      <c r="E39" s="9"/>
      <c r="F39" s="39"/>
      <c r="G39" s="39"/>
    </row>
    <row r="40" spans="1:8" x14ac:dyDescent="0.25">
      <c r="B40" s="9"/>
      <c r="C40" s="9"/>
      <c r="D40" s="9"/>
      <c r="E40" s="9"/>
      <c r="F40" s="39"/>
      <c r="G40" s="39"/>
    </row>
    <row r="41" spans="1:8" x14ac:dyDescent="0.25">
      <c r="B41" s="9"/>
      <c r="C41" s="9"/>
      <c r="D41" s="9"/>
      <c r="E41" s="9"/>
    </row>
    <row r="42" spans="1:8" x14ac:dyDescent="0.25">
      <c r="B42" s="9"/>
      <c r="C42" s="9"/>
      <c r="D42" s="9"/>
      <c r="E42" s="9"/>
    </row>
    <row r="43" spans="1:8" x14ac:dyDescent="0.25">
      <c r="B43" s="9"/>
      <c r="C43" s="9"/>
      <c r="D43" s="9"/>
      <c r="E43" s="9"/>
    </row>
    <row r="45" spans="1:8" x14ac:dyDescent="0.25">
      <c r="B45" s="16"/>
      <c r="C45" s="16"/>
      <c r="D45" s="16"/>
      <c r="E45" s="16"/>
    </row>
    <row r="53" spans="1:5" x14ac:dyDescent="0.25">
      <c r="A53" s="39"/>
      <c r="B53" s="45"/>
      <c r="C53" s="39"/>
      <c r="D53" s="39"/>
      <c r="E53" s="39"/>
    </row>
    <row r="54" spans="1:5" x14ac:dyDescent="0.25">
      <c r="A54" s="39"/>
      <c r="B54" s="45"/>
      <c r="C54" s="39"/>
      <c r="D54" s="39"/>
      <c r="E54" s="39"/>
    </row>
  </sheetData>
  <sheetProtection algorithmName="SHA-512" hashValue="W5VaWQ+NA2dujEpnuxbgbG3qZ793ppn3moTER/Sk64Xd1aOsCgh71EsGjEQh9UvrkloESI5OuJYH4w2wt5QmTA==" saltValue="ruPm99HhNEKCzHCyfrskKw==" spinCount="100000" sheet="1" objects="1" scenarios="1"/>
  <mergeCells count="16">
    <mergeCell ref="L8:M8"/>
    <mergeCell ref="L3:M3"/>
    <mergeCell ref="L4:M4"/>
    <mergeCell ref="L5:M5"/>
    <mergeCell ref="L6:M6"/>
    <mergeCell ref="L7:M7"/>
    <mergeCell ref="L17:M17"/>
    <mergeCell ref="L18:M18"/>
    <mergeCell ref="L19:M19"/>
    <mergeCell ref="L20:M20"/>
    <mergeCell ref="L9:M9"/>
    <mergeCell ref="L10:M10"/>
    <mergeCell ref="L12:M12"/>
    <mergeCell ref="L14:M14"/>
    <mergeCell ref="L15:M15"/>
    <mergeCell ref="L16:M16"/>
  </mergeCells>
  <pageMargins left="0.7" right="0.7" top="0.75" bottom="0.75" header="0.3" footer="0.3"/>
  <pageSetup scale="97" orientation="landscape" r:id="rId1"/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E5AAC-116D-4A41-815A-DD8FFB6893AF}">
  <sheetPr>
    <pageSetUpPr fitToPage="1"/>
  </sheetPr>
  <dimension ref="A1:H32"/>
  <sheetViews>
    <sheetView workbookViewId="0">
      <selection activeCell="F16" sqref="F16"/>
    </sheetView>
  </sheetViews>
  <sheetFormatPr defaultRowHeight="15" x14ac:dyDescent="0.25"/>
  <cols>
    <col min="1" max="1" width="29.42578125" customWidth="1"/>
    <col min="2" max="2" width="14.42578125" bestFit="1" customWidth="1"/>
    <col min="3" max="3" width="15.5703125" bestFit="1" customWidth="1"/>
    <col min="4" max="4" width="13.5703125" bestFit="1" customWidth="1"/>
    <col min="5" max="5" width="16.85546875" bestFit="1" customWidth="1"/>
    <col min="6" max="6" width="14.85546875" bestFit="1" customWidth="1"/>
    <col min="7" max="7" width="14.5703125" customWidth="1"/>
    <col min="8" max="8" width="12" customWidth="1"/>
  </cols>
  <sheetData>
    <row r="1" spans="1:7" ht="18.75" x14ac:dyDescent="0.25">
      <c r="A1" s="79" t="s">
        <v>54</v>
      </c>
      <c r="B1" s="80"/>
      <c r="C1" s="80"/>
      <c r="D1" s="80"/>
      <c r="E1" s="80"/>
      <c r="F1" s="80"/>
      <c r="G1" s="80"/>
    </row>
    <row r="2" spans="1:7" x14ac:dyDescent="0.25">
      <c r="A2" s="4"/>
      <c r="B2" s="144"/>
      <c r="C2" s="144"/>
      <c r="D2" s="144"/>
      <c r="E2" s="144"/>
      <c r="F2" s="144"/>
      <c r="G2" s="2"/>
    </row>
    <row r="3" spans="1:7" x14ac:dyDescent="0.25">
      <c r="A3" s="10"/>
      <c r="B3" s="30" t="s">
        <v>55</v>
      </c>
      <c r="C3" s="30" t="s">
        <v>56</v>
      </c>
      <c r="D3" s="30" t="s">
        <v>57</v>
      </c>
      <c r="E3" s="30" t="s">
        <v>58</v>
      </c>
      <c r="F3" s="30" t="s">
        <v>59</v>
      </c>
      <c r="G3" s="30" t="s">
        <v>5</v>
      </c>
    </row>
    <row r="4" spans="1:7" x14ac:dyDescent="0.25">
      <c r="A4" s="10"/>
      <c r="B4" s="30" t="s">
        <v>60</v>
      </c>
      <c r="C4" s="30" t="s">
        <v>61</v>
      </c>
      <c r="D4" s="30" t="s">
        <v>62</v>
      </c>
      <c r="E4" s="30" t="s">
        <v>63</v>
      </c>
      <c r="F4" s="30" t="s">
        <v>64</v>
      </c>
      <c r="G4" s="5"/>
    </row>
    <row r="5" spans="1:7" x14ac:dyDescent="0.25">
      <c r="A5" s="10" t="s">
        <v>65</v>
      </c>
      <c r="B5" s="11">
        <v>21.68</v>
      </c>
      <c r="C5" s="11">
        <v>14.17</v>
      </c>
      <c r="D5" s="11">
        <v>16.559999999999999</v>
      </c>
      <c r="E5" s="11">
        <v>14.17</v>
      </c>
      <c r="F5" s="11">
        <v>16.559999999999999</v>
      </c>
      <c r="G5" s="5"/>
    </row>
    <row r="6" spans="1:7" x14ac:dyDescent="0.25">
      <c r="A6" s="10" t="s">
        <v>9</v>
      </c>
      <c r="B6" s="11">
        <f>SUM(B5*1040)</f>
        <v>22547.200000000001</v>
      </c>
      <c r="C6" s="11">
        <f>SUM(C5*960)</f>
        <v>13603.2</v>
      </c>
      <c r="D6" s="11">
        <f>SUM(D5*120)</f>
        <v>1987.1999999999998</v>
      </c>
      <c r="E6" s="11">
        <f>SUM(E5*2065)</f>
        <v>29261.05</v>
      </c>
      <c r="F6" s="11">
        <f>SUM(F5*360)</f>
        <v>5961.5999999999995</v>
      </c>
      <c r="G6" s="15">
        <f>SUM(B6:F6)</f>
        <v>73360.25</v>
      </c>
    </row>
    <row r="7" spans="1:7" x14ac:dyDescent="0.25">
      <c r="A7" s="10"/>
      <c r="B7" s="5"/>
      <c r="C7" s="5"/>
      <c r="D7" s="5"/>
      <c r="E7" s="5"/>
      <c r="F7" s="5"/>
      <c r="G7" s="5"/>
    </row>
    <row r="8" spans="1:7" x14ac:dyDescent="0.25">
      <c r="A8" s="10" t="s">
        <v>10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5"/>
    </row>
    <row r="9" spans="1:7" x14ac:dyDescent="0.25">
      <c r="A9" s="10" t="s">
        <v>66</v>
      </c>
      <c r="B9" s="11">
        <v>1500</v>
      </c>
      <c r="C9" s="11"/>
      <c r="D9" s="11"/>
      <c r="E9" s="11"/>
      <c r="F9" s="11"/>
      <c r="G9" s="11">
        <v>1500</v>
      </c>
    </row>
    <row r="10" spans="1:7" x14ac:dyDescent="0.25">
      <c r="A10" s="10" t="s">
        <v>11</v>
      </c>
      <c r="B10" s="11">
        <f>SUM(B6*13.98%)</f>
        <v>3152.0985600000004</v>
      </c>
      <c r="C10" s="11">
        <f>SUM(C6*13.98%)</f>
        <v>1901.7273600000003</v>
      </c>
      <c r="D10" s="11">
        <f>SUM(D6*13.98%)</f>
        <v>277.81056000000001</v>
      </c>
      <c r="E10" s="11" t="s">
        <v>67</v>
      </c>
      <c r="F10" s="11" t="s">
        <v>67</v>
      </c>
      <c r="G10" s="15">
        <f>SUM(B10:D10)</f>
        <v>5331.636480000001</v>
      </c>
    </row>
    <row r="11" spans="1:7" x14ac:dyDescent="0.25">
      <c r="A11" s="10" t="s">
        <v>12</v>
      </c>
      <c r="B11" s="11">
        <f>SUM(B6*7.65%)</f>
        <v>1724.8607999999999</v>
      </c>
      <c r="C11" s="11">
        <f>SUM(C6*7.65%)</f>
        <v>1040.6448</v>
      </c>
      <c r="D11" s="11">
        <f>SUM(D6*7.65%)</f>
        <v>152.02079999999998</v>
      </c>
      <c r="E11" s="11" t="s">
        <v>67</v>
      </c>
      <c r="F11" s="11" t="s">
        <v>67</v>
      </c>
      <c r="G11" s="15">
        <f>SUM(B11:D11)</f>
        <v>2917.5263999999997</v>
      </c>
    </row>
    <row r="12" spans="1:7" ht="20.25" customHeight="1" x14ac:dyDescent="0.25">
      <c r="A12" s="81" t="s">
        <v>13</v>
      </c>
      <c r="B12" s="72">
        <f>SUM(B6:B11)</f>
        <v>28924.159360000001</v>
      </c>
      <c r="C12" s="72">
        <f>SUM(C6:C11)</f>
        <v>16545.572160000003</v>
      </c>
      <c r="D12" s="72">
        <f>SUM(D6:D11)</f>
        <v>2417.0313599999995</v>
      </c>
      <c r="E12" s="72">
        <f>SUM(E6:E11)</f>
        <v>29261.05</v>
      </c>
      <c r="F12" s="72">
        <f>SUM(F6:F11)</f>
        <v>5961.5999999999995</v>
      </c>
      <c r="G12" s="82">
        <f>SUM(B12:F12)</f>
        <v>83109.412880000003</v>
      </c>
    </row>
    <row r="13" spans="1:7" x14ac:dyDescent="0.25">
      <c r="A13" s="5"/>
      <c r="B13" s="11"/>
      <c r="C13" s="11"/>
      <c r="D13" s="11"/>
      <c r="E13" s="11"/>
      <c r="F13" s="11"/>
      <c r="G13" s="15"/>
    </row>
    <row r="14" spans="1:7" x14ac:dyDescent="0.25">
      <c r="A14" s="81" t="s">
        <v>14</v>
      </c>
      <c r="B14" s="11"/>
      <c r="C14" s="11"/>
      <c r="D14" s="11"/>
      <c r="E14" s="11"/>
      <c r="F14" s="11"/>
      <c r="G14" s="15"/>
    </row>
    <row r="15" spans="1:7" x14ac:dyDescent="0.25">
      <c r="A15" s="5" t="s">
        <v>15</v>
      </c>
      <c r="B15" s="11">
        <f>SUM(B5*112)</f>
        <v>2428.16</v>
      </c>
      <c r="C15" s="11">
        <f>SUM(C5*112)</f>
        <v>1587.04</v>
      </c>
      <c r="D15" s="11">
        <f>SUM(D5*112)</f>
        <v>1854.7199999999998</v>
      </c>
      <c r="E15" s="11"/>
      <c r="F15" s="11"/>
      <c r="G15" s="15">
        <f>SUM(B15:D15)</f>
        <v>5869.92</v>
      </c>
    </row>
    <row r="16" spans="1:7" x14ac:dyDescent="0.25">
      <c r="A16" s="5" t="s">
        <v>17</v>
      </c>
      <c r="B16" s="11">
        <f>SUM(B5*80.08)</f>
        <v>1736.1343999999999</v>
      </c>
      <c r="C16" s="11">
        <f>SUM(C5*80.08)</f>
        <v>1134.7336</v>
      </c>
      <c r="D16" s="11">
        <f>SUM(D5*80.08)</f>
        <v>1326.1247999999998</v>
      </c>
      <c r="E16" s="11"/>
      <c r="F16" s="11"/>
      <c r="G16" s="15">
        <f t="shared" ref="G16:G19" si="0">SUM(B16:D16)</f>
        <v>4196.9928</v>
      </c>
    </row>
    <row r="17" spans="1:8" x14ac:dyDescent="0.25">
      <c r="A17" s="5" t="s">
        <v>16</v>
      </c>
      <c r="B17" s="11">
        <f>SUM(B5*96.2)</f>
        <v>2085.616</v>
      </c>
      <c r="C17" s="11">
        <f>SUM(C5*96.2)</f>
        <v>1363.154</v>
      </c>
      <c r="D17" s="11">
        <f>SUM(D5*96.2)</f>
        <v>1593.0719999999999</v>
      </c>
      <c r="E17" s="11"/>
      <c r="F17" s="11"/>
      <c r="G17" s="15">
        <f t="shared" si="0"/>
        <v>5041.8419999999996</v>
      </c>
    </row>
    <row r="18" spans="1:8" x14ac:dyDescent="0.25">
      <c r="A18" s="83" t="s">
        <v>11</v>
      </c>
      <c r="B18" s="84">
        <f>B10</f>
        <v>3152.0985600000004</v>
      </c>
      <c r="C18" s="84">
        <f t="shared" ref="C18:D19" si="1">C10</f>
        <v>1901.7273600000003</v>
      </c>
      <c r="D18" s="84">
        <f t="shared" si="1"/>
        <v>277.81056000000001</v>
      </c>
      <c r="E18" s="84"/>
      <c r="F18" s="84"/>
      <c r="G18" s="85">
        <f t="shared" si="0"/>
        <v>5331.636480000001</v>
      </c>
    </row>
    <row r="19" spans="1:8" x14ac:dyDescent="0.25">
      <c r="A19" s="86" t="s">
        <v>12</v>
      </c>
      <c r="B19" s="11">
        <f>B11</f>
        <v>1724.8607999999999</v>
      </c>
      <c r="C19" s="11">
        <f t="shared" si="1"/>
        <v>1040.6448</v>
      </c>
      <c r="D19" s="11">
        <f t="shared" si="1"/>
        <v>152.02079999999998</v>
      </c>
      <c r="E19" s="11"/>
      <c r="F19" s="11"/>
      <c r="G19" s="87">
        <f t="shared" si="0"/>
        <v>2917.5263999999997</v>
      </c>
    </row>
    <row r="20" spans="1:8" x14ac:dyDescent="0.25">
      <c r="A20" s="10" t="s">
        <v>68</v>
      </c>
      <c r="B20" s="88"/>
      <c r="C20" s="11"/>
      <c r="D20" s="11"/>
      <c r="E20" s="11"/>
      <c r="F20" s="12"/>
      <c r="G20" s="87">
        <v>1500</v>
      </c>
    </row>
    <row r="21" spans="1:8" x14ac:dyDescent="0.25">
      <c r="A21" s="89" t="s">
        <v>18</v>
      </c>
      <c r="B21" s="82">
        <f>SUM(B15:B20)</f>
        <v>11126.86976</v>
      </c>
      <c r="C21" s="82">
        <f t="shared" ref="C21:F21" si="2">SUM(C15:C20)</f>
        <v>7027.2997599999999</v>
      </c>
      <c r="D21" s="82">
        <f t="shared" si="2"/>
        <v>5203.7481600000001</v>
      </c>
      <c r="E21" s="82">
        <f t="shared" si="2"/>
        <v>0</v>
      </c>
      <c r="F21" s="82">
        <f t="shared" si="2"/>
        <v>0</v>
      </c>
      <c r="G21" s="82">
        <f t="shared" ref="G21" si="3">SUM(B21:F21)</f>
        <v>23357.917679999999</v>
      </c>
    </row>
    <row r="22" spans="1:8" x14ac:dyDescent="0.25">
      <c r="A22" s="10"/>
      <c r="B22" s="5"/>
      <c r="C22" s="5"/>
      <c r="D22" s="5"/>
      <c r="E22" s="90"/>
      <c r="F22" s="5"/>
      <c r="G22" s="5"/>
    </row>
    <row r="23" spans="1:8" ht="27" x14ac:dyDescent="0.25">
      <c r="A23" s="29" t="s">
        <v>19</v>
      </c>
      <c r="B23" s="91" t="s">
        <v>20</v>
      </c>
      <c r="C23" s="91" t="s">
        <v>21</v>
      </c>
      <c r="D23" s="91" t="s">
        <v>22</v>
      </c>
      <c r="E23" s="30" t="s">
        <v>23</v>
      </c>
      <c r="F23" s="30" t="s">
        <v>24</v>
      </c>
      <c r="G23" s="74" t="s">
        <v>50</v>
      </c>
      <c r="H23" s="31" t="s">
        <v>26</v>
      </c>
    </row>
    <row r="24" spans="1:8" x14ac:dyDescent="0.25">
      <c r="A24" s="5" t="s">
        <v>27</v>
      </c>
      <c r="B24" s="11">
        <v>74796.800000000003</v>
      </c>
      <c r="C24" s="11">
        <v>67134.600000000006</v>
      </c>
      <c r="D24" s="11">
        <v>61738.53</v>
      </c>
      <c r="E24" s="11">
        <v>41397.870000000003</v>
      </c>
      <c r="F24" s="11">
        <v>71234</v>
      </c>
      <c r="G24" s="75">
        <f>G6</f>
        <v>73360.25</v>
      </c>
      <c r="H24" s="15">
        <f>SUM(G24-F24)</f>
        <v>2126.25</v>
      </c>
    </row>
    <row r="25" spans="1:8" x14ac:dyDescent="0.25">
      <c r="A25" s="5" t="s">
        <v>66</v>
      </c>
      <c r="B25" s="11">
        <v>1545</v>
      </c>
      <c r="C25" s="11">
        <v>1545</v>
      </c>
      <c r="D25" s="11">
        <v>1015</v>
      </c>
      <c r="E25" s="11">
        <v>640</v>
      </c>
      <c r="F25" s="11">
        <v>1500</v>
      </c>
      <c r="G25" s="75">
        <v>1500</v>
      </c>
      <c r="H25" s="15">
        <f t="shared" ref="H25:H28" si="4">SUM(G25-F25)</f>
        <v>0</v>
      </c>
    </row>
    <row r="26" spans="1:8" x14ac:dyDescent="0.25">
      <c r="A26" s="5" t="s">
        <v>11</v>
      </c>
      <c r="B26" s="11">
        <v>5376.68</v>
      </c>
      <c r="C26" s="11">
        <v>4854.7700000000004</v>
      </c>
      <c r="D26" s="11">
        <v>4543.7700000000004</v>
      </c>
      <c r="E26" s="11">
        <v>3291.42</v>
      </c>
      <c r="F26" s="11">
        <v>5425</v>
      </c>
      <c r="G26" s="75">
        <f>G10</f>
        <v>5331.636480000001</v>
      </c>
      <c r="H26" s="15">
        <f t="shared" si="4"/>
        <v>-93.363519999998971</v>
      </c>
    </row>
    <row r="27" spans="1:8" x14ac:dyDescent="0.25">
      <c r="A27" s="5" t="s">
        <v>52</v>
      </c>
      <c r="B27" s="11">
        <v>5721.96</v>
      </c>
      <c r="C27" s="11">
        <v>5135.8</v>
      </c>
      <c r="D27" s="11">
        <v>4722.9799999999996</v>
      </c>
      <c r="E27" s="11">
        <v>3167.74</v>
      </c>
      <c r="F27" s="11">
        <v>2833</v>
      </c>
      <c r="G27" s="75">
        <f>G11</f>
        <v>2917.5263999999997</v>
      </c>
      <c r="H27" s="15">
        <f t="shared" si="4"/>
        <v>84.52639999999974</v>
      </c>
    </row>
    <row r="28" spans="1:8" x14ac:dyDescent="0.25">
      <c r="A28" s="5" t="s">
        <v>53</v>
      </c>
      <c r="B28" s="11">
        <v>0</v>
      </c>
      <c r="C28" s="11">
        <v>2338.06</v>
      </c>
      <c r="D28" s="11">
        <v>2647.53</v>
      </c>
      <c r="E28" s="11">
        <v>2034.72</v>
      </c>
      <c r="F28" s="11">
        <v>1449</v>
      </c>
      <c r="G28" s="75"/>
      <c r="H28" s="15">
        <f t="shared" si="4"/>
        <v>-1449</v>
      </c>
    </row>
    <row r="29" spans="1:8" x14ac:dyDescent="0.25">
      <c r="A29" s="29" t="s">
        <v>32</v>
      </c>
      <c r="B29" s="72">
        <f t="shared" ref="B29:H29" si="5">SUM(B24:B28)</f>
        <v>87440.440000000017</v>
      </c>
      <c r="C29" s="72">
        <f t="shared" si="5"/>
        <v>81008.23000000001</v>
      </c>
      <c r="D29" s="72">
        <f t="shared" si="5"/>
        <v>74667.81</v>
      </c>
      <c r="E29" s="72">
        <f t="shared" si="5"/>
        <v>50531.75</v>
      </c>
      <c r="F29" s="72">
        <f t="shared" si="5"/>
        <v>82441</v>
      </c>
      <c r="G29" s="92">
        <f t="shared" si="5"/>
        <v>83109.412880000003</v>
      </c>
      <c r="H29" s="11">
        <f t="shared" si="5"/>
        <v>668.41288000000077</v>
      </c>
    </row>
    <row r="30" spans="1:8" x14ac:dyDescent="0.25">
      <c r="A30" s="2"/>
      <c r="B30" s="9"/>
      <c r="C30" s="9"/>
      <c r="D30" s="9"/>
      <c r="E30" s="9"/>
      <c r="F30" s="9"/>
      <c r="G30" s="2"/>
    </row>
    <row r="31" spans="1:8" x14ac:dyDescent="0.25">
      <c r="A31" s="2"/>
      <c r="B31" s="2"/>
      <c r="C31" s="2"/>
      <c r="D31" s="2"/>
      <c r="E31" s="2"/>
      <c r="F31" s="2"/>
      <c r="G31" s="2"/>
    </row>
    <row r="32" spans="1:8" x14ac:dyDescent="0.25">
      <c r="A32" s="39" t="s">
        <v>69</v>
      </c>
      <c r="B32" s="2"/>
      <c r="C32" s="2"/>
      <c r="D32" s="2"/>
      <c r="E32" s="2"/>
      <c r="F32" s="2"/>
      <c r="G32" s="2"/>
    </row>
  </sheetData>
  <sheetProtection algorithmName="SHA-512" hashValue="RYdHN5ONqtxxqckgn8XO1pNIRxhrRXzOeyJKl0n3GfjCnyBXNMwx9f1GhZ5bild/T+P99epG2ccUJ3zWVaEPxg==" saltValue="dEETAWKOtlsMO7anpGOy2g==" spinCount="100000" sheet="1" objects="1" scenarios="1"/>
  <mergeCells count="1">
    <mergeCell ref="B2:F2"/>
  </mergeCells>
  <pageMargins left="0.7" right="0.7" top="0.75" bottom="0.75" header="0.3" footer="0.3"/>
  <pageSetup scale="9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CBEAE-C4CF-445A-B587-43F6EA3BD641}">
  <sheetPr>
    <pageSetUpPr fitToPage="1"/>
  </sheetPr>
  <dimension ref="A1:L75"/>
  <sheetViews>
    <sheetView workbookViewId="0">
      <selection activeCell="F16" sqref="F16"/>
    </sheetView>
  </sheetViews>
  <sheetFormatPr defaultRowHeight="13.5" x14ac:dyDescent="0.25"/>
  <cols>
    <col min="1" max="1" width="29.5703125" style="2" customWidth="1"/>
    <col min="2" max="2" width="14" style="2" bestFit="1" customWidth="1"/>
    <col min="3" max="3" width="14.7109375" style="2" customWidth="1"/>
    <col min="4" max="4" width="14.7109375" style="2" bestFit="1" customWidth="1"/>
    <col min="5" max="5" width="13.85546875" style="2" customWidth="1"/>
    <col min="6" max="6" width="13.5703125" style="2" customWidth="1"/>
    <col min="7" max="7" width="14.85546875" style="2" customWidth="1"/>
    <col min="8" max="8" width="16.140625" style="2" customWidth="1"/>
    <col min="9" max="9" width="12.28515625" style="2" bestFit="1" customWidth="1"/>
    <col min="10" max="16384" width="9.140625" style="2"/>
  </cols>
  <sheetData>
    <row r="1" spans="1:12" ht="18.75" x14ac:dyDescent="0.25">
      <c r="A1" s="66" t="s">
        <v>70</v>
      </c>
      <c r="B1" s="66"/>
      <c r="C1" s="66"/>
      <c r="D1" s="66"/>
      <c r="E1" s="66"/>
    </row>
    <row r="3" spans="1:12" x14ac:dyDescent="0.25">
      <c r="A3" s="5"/>
      <c r="B3" s="93" t="s">
        <v>71</v>
      </c>
      <c r="C3" s="3"/>
      <c r="I3" s="3"/>
      <c r="J3" s="3"/>
      <c r="K3" s="144"/>
      <c r="L3" s="144"/>
    </row>
    <row r="4" spans="1:12" x14ac:dyDescent="0.25">
      <c r="A4" s="5" t="s">
        <v>8</v>
      </c>
      <c r="B4" s="12">
        <v>25.31</v>
      </c>
      <c r="C4" s="9"/>
      <c r="I4" s="9"/>
      <c r="J4" s="9"/>
      <c r="K4" s="143"/>
      <c r="L4" s="143"/>
    </row>
    <row r="5" spans="1:12" x14ac:dyDescent="0.25">
      <c r="A5" s="5" t="s">
        <v>9</v>
      </c>
      <c r="B5" s="12">
        <f>SUM(B4*1664)</f>
        <v>42115.839999999997</v>
      </c>
      <c r="C5" s="9"/>
      <c r="I5" s="9"/>
      <c r="J5" s="9"/>
      <c r="K5" s="143"/>
      <c r="L5" s="143"/>
    </row>
    <row r="6" spans="1:12" x14ac:dyDescent="0.25">
      <c r="A6" s="5" t="s">
        <v>48</v>
      </c>
      <c r="B6" s="10"/>
      <c r="C6" s="9"/>
      <c r="I6" s="9"/>
      <c r="J6" s="9"/>
      <c r="K6" s="143"/>
      <c r="L6" s="143"/>
    </row>
    <row r="7" spans="1:12" x14ac:dyDescent="0.25">
      <c r="A7" s="5" t="s">
        <v>10</v>
      </c>
      <c r="B7" s="12">
        <v>10420</v>
      </c>
      <c r="C7" s="9"/>
      <c r="I7" s="9"/>
      <c r="J7" s="9"/>
      <c r="K7" s="143"/>
      <c r="L7" s="143"/>
    </row>
    <row r="8" spans="1:12" ht="18.75" customHeight="1" x14ac:dyDescent="0.25">
      <c r="A8" s="10" t="s">
        <v>11</v>
      </c>
      <c r="B8" s="12">
        <f>SUM(B5*11.96%)</f>
        <v>5037.0544639999998</v>
      </c>
      <c r="C8" s="9"/>
      <c r="I8" s="9"/>
      <c r="J8" s="9"/>
      <c r="K8" s="143"/>
      <c r="L8" s="143"/>
    </row>
    <row r="9" spans="1:12" ht="15.75" x14ac:dyDescent="0.25">
      <c r="A9" s="10" t="s">
        <v>12</v>
      </c>
      <c r="B9" s="12">
        <f>SUM(B5*7.65%)</f>
        <v>3221.8617599999998</v>
      </c>
      <c r="C9" s="9"/>
      <c r="E9" s="94"/>
      <c r="F9" s="94"/>
      <c r="I9" s="9"/>
      <c r="J9" s="9"/>
      <c r="K9" s="143"/>
      <c r="L9" s="143"/>
    </row>
    <row r="10" spans="1:12" x14ac:dyDescent="0.25">
      <c r="A10" s="5" t="s">
        <v>37</v>
      </c>
      <c r="B10" s="12"/>
      <c r="C10" s="9"/>
      <c r="F10" s="3"/>
      <c r="I10" s="9"/>
      <c r="J10" s="9"/>
      <c r="K10" s="143"/>
      <c r="L10" s="143"/>
    </row>
    <row r="11" spans="1:12" ht="14.25" thickBot="1" x14ac:dyDescent="0.3">
      <c r="A11" s="17"/>
      <c r="B11" s="19"/>
      <c r="C11" s="9"/>
      <c r="E11" s="40"/>
      <c r="F11" s="9"/>
      <c r="H11" s="26"/>
      <c r="I11" s="71"/>
      <c r="J11" s="9"/>
      <c r="K11" s="143"/>
      <c r="L11" s="143"/>
    </row>
    <row r="12" spans="1:12" x14ac:dyDescent="0.25">
      <c r="A12" s="68" t="s">
        <v>13</v>
      </c>
      <c r="B12" s="70">
        <f>SUM(B5:B11)</f>
        <v>60794.756223999997</v>
      </c>
      <c r="C12" s="71"/>
      <c r="E12" s="40"/>
      <c r="F12" s="9"/>
      <c r="I12" s="9"/>
      <c r="J12" s="9"/>
      <c r="K12" s="143"/>
      <c r="L12" s="143"/>
    </row>
    <row r="13" spans="1:12" x14ac:dyDescent="0.25">
      <c r="A13" s="29"/>
      <c r="B13" s="95"/>
      <c r="C13" s="71"/>
      <c r="E13" s="40"/>
      <c r="F13" s="9"/>
      <c r="I13" s="9"/>
      <c r="J13" s="9"/>
      <c r="K13" s="143"/>
      <c r="L13" s="143"/>
    </row>
    <row r="14" spans="1:12" x14ac:dyDescent="0.25">
      <c r="A14" s="29"/>
      <c r="B14" s="96"/>
      <c r="C14" s="36"/>
      <c r="I14" s="9"/>
      <c r="K14" s="143"/>
      <c r="L14" s="143"/>
    </row>
    <row r="15" spans="1:12" x14ac:dyDescent="0.25">
      <c r="A15" s="26" t="s">
        <v>14</v>
      </c>
      <c r="B15" s="16"/>
      <c r="C15" s="16"/>
      <c r="I15" s="9"/>
      <c r="K15" s="143"/>
      <c r="L15" s="143"/>
    </row>
    <row r="16" spans="1:12" x14ac:dyDescent="0.25">
      <c r="A16" s="2" t="s">
        <v>15</v>
      </c>
      <c r="B16" s="9">
        <f>SUM(B4*112)</f>
        <v>2834.72</v>
      </c>
      <c r="C16" s="9"/>
      <c r="K16" s="141"/>
      <c r="L16" s="141"/>
    </row>
    <row r="17" spans="1:12" x14ac:dyDescent="0.25">
      <c r="A17" s="2" t="s">
        <v>17</v>
      </c>
      <c r="B17" s="9">
        <f>SUM(B4*80.08)</f>
        <v>2026.8247999999999</v>
      </c>
      <c r="C17" s="9"/>
      <c r="H17" s="26"/>
      <c r="I17" s="36"/>
      <c r="J17" s="16"/>
      <c r="K17" s="141"/>
      <c r="L17" s="141"/>
    </row>
    <row r="18" spans="1:12" x14ac:dyDescent="0.25">
      <c r="A18" s="2" t="s">
        <v>16</v>
      </c>
      <c r="B18" s="9">
        <f>SUM(B4*96.2)</f>
        <v>2434.8220000000001</v>
      </c>
      <c r="C18" s="9"/>
      <c r="K18" s="141"/>
      <c r="L18" s="141"/>
    </row>
    <row r="19" spans="1:12" x14ac:dyDescent="0.25">
      <c r="A19" s="2" t="s">
        <v>10</v>
      </c>
      <c r="B19" s="9">
        <v>10420</v>
      </c>
      <c r="C19" s="9"/>
    </row>
    <row r="20" spans="1:12" x14ac:dyDescent="0.25">
      <c r="A20" s="2" t="s">
        <v>11</v>
      </c>
      <c r="B20" s="9">
        <f>B8</f>
        <v>5037.0544639999998</v>
      </c>
      <c r="C20" s="9"/>
    </row>
    <row r="21" spans="1:12" x14ac:dyDescent="0.25">
      <c r="A21" s="2" t="s">
        <v>12</v>
      </c>
      <c r="B21" s="16">
        <f>B9</f>
        <v>3221.8617599999998</v>
      </c>
      <c r="C21" s="9"/>
    </row>
    <row r="22" spans="1:12" x14ac:dyDescent="0.25">
      <c r="A22" s="29" t="s">
        <v>18</v>
      </c>
      <c r="B22" s="12">
        <f>SUM(B16:B21)</f>
        <v>25975.283024</v>
      </c>
      <c r="C22" s="9"/>
    </row>
    <row r="24" spans="1:12" ht="17.25" customHeight="1" x14ac:dyDescent="0.25">
      <c r="A24" s="29" t="s">
        <v>19</v>
      </c>
      <c r="B24" s="30" t="s">
        <v>20</v>
      </c>
      <c r="C24" s="30" t="s">
        <v>21</v>
      </c>
      <c r="D24" s="30" t="s">
        <v>22</v>
      </c>
      <c r="E24" s="30" t="s">
        <v>72</v>
      </c>
      <c r="F24" s="30" t="s">
        <v>24</v>
      </c>
      <c r="G24" s="74" t="s">
        <v>50</v>
      </c>
      <c r="H24" s="31" t="s">
        <v>26</v>
      </c>
    </row>
    <row r="25" spans="1:12" ht="17.25" customHeight="1" x14ac:dyDescent="0.25">
      <c r="A25" s="5" t="s">
        <v>27</v>
      </c>
      <c r="B25" s="11">
        <v>40102.400000000001</v>
      </c>
      <c r="C25" s="11">
        <v>44112.639999999999</v>
      </c>
      <c r="D25" s="11">
        <v>42107.519999999997</v>
      </c>
      <c r="E25" s="11">
        <v>27938.720000000001</v>
      </c>
      <c r="F25" s="11">
        <v>43380.480000000003</v>
      </c>
      <c r="G25" s="92">
        <f>B5</f>
        <v>42115.839999999997</v>
      </c>
      <c r="H25" s="15">
        <f>SUM(G25-F25)</f>
        <v>-1264.6400000000067</v>
      </c>
    </row>
    <row r="26" spans="1:12" ht="17.25" customHeight="1" x14ac:dyDescent="0.25">
      <c r="A26" s="5" t="s">
        <v>28</v>
      </c>
      <c r="B26" s="11">
        <v>13149</v>
      </c>
      <c r="C26" s="11">
        <v>12578.66</v>
      </c>
      <c r="D26" s="11">
        <v>11356.72</v>
      </c>
      <c r="E26" s="11">
        <v>9495.86</v>
      </c>
      <c r="F26" s="11">
        <v>12600</v>
      </c>
      <c r="G26" s="92">
        <f>B7</f>
        <v>10420</v>
      </c>
      <c r="H26" s="15">
        <f t="shared" ref="H26:H29" si="0">SUM(G26-F26)</f>
        <v>-2180</v>
      </c>
    </row>
    <row r="27" spans="1:12" ht="17.25" customHeight="1" x14ac:dyDescent="0.25">
      <c r="A27" s="5" t="s">
        <v>11</v>
      </c>
      <c r="B27" s="11">
        <v>4788.2299999999996</v>
      </c>
      <c r="C27" s="11">
        <v>5267.05</v>
      </c>
      <c r="D27" s="11">
        <v>4770.71</v>
      </c>
      <c r="E27" s="11">
        <v>3389.89</v>
      </c>
      <c r="F27" s="11">
        <v>5188.3100000000004</v>
      </c>
      <c r="G27" s="92">
        <f>B8</f>
        <v>5037.0544639999998</v>
      </c>
      <c r="H27" s="15">
        <f t="shared" si="0"/>
        <v>-151.25553600000057</v>
      </c>
    </row>
    <row r="28" spans="1:12" ht="17.25" customHeight="1" x14ac:dyDescent="0.25">
      <c r="A28" s="5" t="s">
        <v>52</v>
      </c>
      <c r="B28" s="11">
        <v>3067.83</v>
      </c>
      <c r="C28" s="11">
        <v>3374.62</v>
      </c>
      <c r="D28" s="11">
        <v>3105.35</v>
      </c>
      <c r="E28" s="11">
        <v>2043.99</v>
      </c>
      <c r="F28" s="11">
        <v>3318.61</v>
      </c>
      <c r="G28" s="92">
        <f>B9</f>
        <v>3221.8617599999998</v>
      </c>
      <c r="H28" s="15">
        <f t="shared" si="0"/>
        <v>-96.748240000000351</v>
      </c>
    </row>
    <row r="29" spans="1:12" ht="17.25" customHeight="1" x14ac:dyDescent="0.25">
      <c r="A29" s="5" t="s">
        <v>53</v>
      </c>
      <c r="B29" s="11">
        <v>0</v>
      </c>
      <c r="C29" s="11">
        <v>1261.32</v>
      </c>
      <c r="D29" s="11">
        <v>66.290000000000006</v>
      </c>
      <c r="E29" s="11">
        <v>67.2</v>
      </c>
      <c r="F29" s="11">
        <v>54.75</v>
      </c>
      <c r="G29" s="92"/>
      <c r="H29" s="15">
        <f t="shared" si="0"/>
        <v>-54.75</v>
      </c>
    </row>
    <row r="30" spans="1:12" ht="17.25" customHeight="1" x14ac:dyDescent="0.25">
      <c r="A30" s="5" t="s">
        <v>32</v>
      </c>
      <c r="B30" s="11">
        <f>SUM(B25:B29)</f>
        <v>61107.460000000006</v>
      </c>
      <c r="C30" s="11">
        <f t="shared" ref="C30:D30" si="1">SUM(C25:C29)</f>
        <v>66594.290000000008</v>
      </c>
      <c r="D30" s="11">
        <f t="shared" si="1"/>
        <v>61406.59</v>
      </c>
      <c r="E30" s="11">
        <f>SUM(E25:E29)</f>
        <v>42935.659999999996</v>
      </c>
      <c r="F30" s="11">
        <f>SUM(F25:F29)</f>
        <v>64542.15</v>
      </c>
      <c r="G30" s="92">
        <f>SUM(G25:G29)</f>
        <v>60794.756223999997</v>
      </c>
      <c r="H30" s="11">
        <f t="shared" ref="H30" si="2">SUM(H25:H29)</f>
        <v>-3747.3937760000076</v>
      </c>
    </row>
    <row r="31" spans="1:12" x14ac:dyDescent="0.25">
      <c r="B31" s="9"/>
      <c r="C31" s="9"/>
      <c r="D31" s="9"/>
      <c r="E31" s="9"/>
    </row>
    <row r="58" spans="3:5" x14ac:dyDescent="0.25">
      <c r="C58" s="3"/>
      <c r="D58" s="3"/>
      <c r="E58" s="3"/>
    </row>
    <row r="59" spans="3:5" x14ac:dyDescent="0.25">
      <c r="C59" s="9"/>
      <c r="D59" s="9"/>
      <c r="E59" s="9"/>
    </row>
    <row r="60" spans="3:5" x14ac:dyDescent="0.25">
      <c r="C60" s="9"/>
      <c r="D60" s="9"/>
      <c r="E60" s="9"/>
    </row>
    <row r="61" spans="3:5" x14ac:dyDescent="0.25">
      <c r="C61" s="9"/>
      <c r="D61" s="9"/>
      <c r="E61" s="9"/>
    </row>
    <row r="62" spans="3:5" x14ac:dyDescent="0.25">
      <c r="C62" s="9"/>
      <c r="D62" s="9"/>
      <c r="E62" s="9"/>
    </row>
    <row r="63" spans="3:5" x14ac:dyDescent="0.25">
      <c r="C63" s="9"/>
      <c r="D63" s="9"/>
      <c r="E63" s="9"/>
    </row>
    <row r="64" spans="3:5" x14ac:dyDescent="0.25">
      <c r="C64" s="9"/>
      <c r="D64" s="9"/>
      <c r="E64" s="9"/>
    </row>
    <row r="66" spans="2:5" x14ac:dyDescent="0.25">
      <c r="C66" s="16"/>
      <c r="D66" s="16"/>
      <c r="E66" s="16"/>
    </row>
    <row r="72" spans="2:5" x14ac:dyDescent="0.25">
      <c r="B72" s="97"/>
    </row>
    <row r="73" spans="2:5" x14ac:dyDescent="0.25">
      <c r="B73" s="13"/>
    </row>
    <row r="75" spans="2:5" x14ac:dyDescent="0.25">
      <c r="B75" s="13"/>
    </row>
  </sheetData>
  <sheetProtection algorithmName="SHA-512" hashValue="SZygxmx0ttV/gQ4Z+aqSGjY/qD/UKIdvNuQHiEOWygNGNfDvBUNBtszl1NsDumkfvjY6/vFqHoXZ0H6JztdKbA==" saltValue="4Wh/uzM2hkZyiPdRWMEUDA==" spinCount="100000" sheet="1" objects="1" scenarios="1"/>
  <mergeCells count="16">
    <mergeCell ref="K8:L8"/>
    <mergeCell ref="K3:L3"/>
    <mergeCell ref="K4:L4"/>
    <mergeCell ref="K5:L5"/>
    <mergeCell ref="K6:L6"/>
    <mergeCell ref="K7:L7"/>
    <mergeCell ref="K15:L15"/>
    <mergeCell ref="K16:L16"/>
    <mergeCell ref="K17:L17"/>
    <mergeCell ref="K18:L18"/>
    <mergeCell ref="K9:L9"/>
    <mergeCell ref="K10:L10"/>
    <mergeCell ref="K11:L11"/>
    <mergeCell ref="K12:L12"/>
    <mergeCell ref="K13:L13"/>
    <mergeCell ref="K14:L14"/>
  </mergeCells>
  <pageMargins left="0.7" right="0.7" top="0.75" bottom="0.75" header="0.3" footer="0.3"/>
  <pageSetup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E7D11-8DC9-4110-BB66-2A6079778BDE}">
  <sheetPr>
    <pageSetUpPr fitToPage="1"/>
  </sheetPr>
  <dimension ref="A1:S78"/>
  <sheetViews>
    <sheetView zoomScaleNormal="100" workbookViewId="0">
      <selection activeCell="F16" sqref="F16"/>
    </sheetView>
  </sheetViews>
  <sheetFormatPr defaultRowHeight="13.5" x14ac:dyDescent="0.25"/>
  <cols>
    <col min="1" max="1" width="27.5703125" style="2" customWidth="1"/>
    <col min="2" max="2" width="14.5703125" style="2" bestFit="1" customWidth="1"/>
    <col min="3" max="3" width="14.42578125" style="2" customWidth="1"/>
    <col min="4" max="4" width="12.42578125" style="2" customWidth="1"/>
    <col min="5" max="5" width="12.7109375" style="2" customWidth="1"/>
    <col min="6" max="6" width="13.28515625" style="2" customWidth="1"/>
    <col min="7" max="7" width="15.28515625" style="2" customWidth="1"/>
    <col min="8" max="8" width="14" style="2" customWidth="1"/>
    <col min="9" max="9" width="14.5703125" style="2" customWidth="1"/>
    <col min="10" max="12" width="17.140625" style="2" bestFit="1" customWidth="1"/>
    <col min="13" max="14" width="18.85546875" style="2" bestFit="1" customWidth="1"/>
    <col min="15" max="15" width="12.28515625" style="2" bestFit="1" customWidth="1"/>
    <col min="16" max="17" width="12" style="2" bestFit="1" customWidth="1"/>
    <col min="18" max="16384" width="9.140625" style="2"/>
  </cols>
  <sheetData>
    <row r="1" spans="1:19" ht="18.75" x14ac:dyDescent="0.25">
      <c r="A1" s="66" t="s">
        <v>73</v>
      </c>
      <c r="B1" s="98"/>
      <c r="C1" s="98"/>
      <c r="D1" s="98"/>
      <c r="E1" s="98"/>
      <c r="F1" s="98"/>
      <c r="H1" s="98"/>
      <c r="I1" s="98"/>
    </row>
    <row r="2" spans="1:19" ht="9.75" customHeight="1" x14ac:dyDescent="0.25">
      <c r="A2" s="1"/>
    </row>
    <row r="3" spans="1:19" x14ac:dyDescent="0.25">
      <c r="A3" s="10"/>
      <c r="B3" s="6" t="s">
        <v>74</v>
      </c>
      <c r="C3" s="6" t="s">
        <v>75</v>
      </c>
      <c r="D3" s="6" t="s">
        <v>76</v>
      </c>
      <c r="E3" s="6" t="s">
        <v>76</v>
      </c>
      <c r="F3" s="99" t="s">
        <v>77</v>
      </c>
      <c r="G3" s="6" t="s">
        <v>5</v>
      </c>
      <c r="J3" s="3"/>
      <c r="L3" s="3"/>
      <c r="M3" s="3"/>
      <c r="N3" s="3"/>
      <c r="O3" s="3"/>
    </row>
    <row r="4" spans="1:19" ht="15" customHeight="1" x14ac:dyDescent="0.25">
      <c r="A4" s="10"/>
      <c r="B4" s="6"/>
      <c r="C4" s="5"/>
      <c r="D4" s="6"/>
      <c r="E4" s="5"/>
      <c r="F4" s="100"/>
      <c r="G4" s="5"/>
      <c r="J4" s="3"/>
      <c r="L4" s="3"/>
      <c r="M4" s="3"/>
      <c r="N4" s="3"/>
      <c r="O4" s="3"/>
      <c r="P4" s="3"/>
      <c r="Q4" s="3"/>
      <c r="R4" s="144"/>
      <c r="S4" s="144"/>
    </row>
    <row r="5" spans="1:19" x14ac:dyDescent="0.25">
      <c r="A5" s="10" t="s">
        <v>8</v>
      </c>
      <c r="B5" s="101">
        <v>40.69</v>
      </c>
      <c r="C5" s="101">
        <v>37.19</v>
      </c>
      <c r="D5" s="101">
        <v>33</v>
      </c>
      <c r="E5" s="101">
        <v>32.19</v>
      </c>
      <c r="F5" s="102">
        <v>33</v>
      </c>
      <c r="G5" s="11"/>
      <c r="J5" s="8"/>
      <c r="L5" s="3"/>
      <c r="N5" s="3"/>
      <c r="R5" s="141"/>
      <c r="S5" s="141"/>
    </row>
    <row r="6" spans="1:19" x14ac:dyDescent="0.25">
      <c r="A6" s="5" t="s">
        <v>9</v>
      </c>
      <c r="B6" s="84">
        <f>B5*2236</f>
        <v>90982.84</v>
      </c>
      <c r="C6" s="84">
        <f t="shared" ref="C6:E6" si="0">SUM(C5*2236)</f>
        <v>83156.84</v>
      </c>
      <c r="D6" s="84">
        <f t="shared" si="0"/>
        <v>73788</v>
      </c>
      <c r="E6" s="84">
        <f t="shared" si="0"/>
        <v>71976.84</v>
      </c>
      <c r="F6" s="11">
        <f>SUM(F5*2236)</f>
        <v>73788</v>
      </c>
      <c r="G6" s="11">
        <f>SUM(B6:F6)</f>
        <v>393692.52</v>
      </c>
      <c r="J6" s="9"/>
      <c r="L6" s="8"/>
      <c r="M6" s="8"/>
      <c r="N6" s="8"/>
      <c r="O6" s="8"/>
      <c r="P6" s="8"/>
      <c r="Q6" s="9"/>
      <c r="R6" s="141"/>
      <c r="S6" s="141"/>
    </row>
    <row r="7" spans="1:19" x14ac:dyDescent="0.25">
      <c r="A7" s="5" t="s">
        <v>78</v>
      </c>
      <c r="B7" s="11">
        <v>4000</v>
      </c>
      <c r="C7" s="11">
        <v>4000</v>
      </c>
      <c r="D7" s="11">
        <v>4000</v>
      </c>
      <c r="E7" s="11">
        <v>4000</v>
      </c>
      <c r="F7" s="12">
        <v>4000</v>
      </c>
      <c r="G7" s="11">
        <f>SUM(B7:F7)</f>
        <v>20000</v>
      </c>
      <c r="J7" s="9"/>
      <c r="L7" s="8"/>
      <c r="M7" s="8"/>
      <c r="N7" s="8"/>
      <c r="O7" s="8"/>
      <c r="P7" s="8"/>
      <c r="Q7" s="9"/>
      <c r="R7" s="141"/>
      <c r="S7" s="141"/>
    </row>
    <row r="8" spans="1:19" x14ac:dyDescent="0.25">
      <c r="A8" s="5" t="s">
        <v>10</v>
      </c>
      <c r="B8" s="11">
        <v>10420</v>
      </c>
      <c r="C8" s="11">
        <v>10420</v>
      </c>
      <c r="D8" s="11">
        <v>10420</v>
      </c>
      <c r="E8" s="11">
        <v>10420</v>
      </c>
      <c r="F8" s="11">
        <v>10420</v>
      </c>
      <c r="G8" s="11">
        <f>SUM(B8:F8)</f>
        <v>52100</v>
      </c>
      <c r="J8" s="9"/>
      <c r="L8" s="8"/>
      <c r="M8" s="8"/>
      <c r="N8" s="8"/>
      <c r="O8" s="8"/>
      <c r="P8" s="8"/>
      <c r="Q8" s="9"/>
      <c r="R8" s="141"/>
      <c r="S8" s="141"/>
    </row>
    <row r="9" spans="1:19" x14ac:dyDescent="0.25">
      <c r="A9" s="10" t="s">
        <v>11</v>
      </c>
      <c r="B9" s="11">
        <f>SUM(B6+B7)*13.98%</f>
        <v>13278.601032</v>
      </c>
      <c r="C9" s="11">
        <f t="shared" ref="C9:E9" si="1">SUM(C6+C7)*13.98%</f>
        <v>12184.526232</v>
      </c>
      <c r="D9" s="11">
        <f t="shared" si="1"/>
        <v>10874.762400000001</v>
      </c>
      <c r="E9" s="11">
        <f t="shared" si="1"/>
        <v>10621.562232</v>
      </c>
      <c r="F9" s="11">
        <f>SUM(F6+F7)*13.98%</f>
        <v>10874.762400000001</v>
      </c>
      <c r="G9" s="11">
        <f>SUM(B9:F9)</f>
        <v>57834.214295999998</v>
      </c>
      <c r="J9" s="9"/>
      <c r="L9" s="8"/>
      <c r="M9" s="8"/>
      <c r="N9" s="8"/>
      <c r="O9" s="8"/>
      <c r="P9" s="8"/>
      <c r="Q9" s="9"/>
      <c r="R9" s="141"/>
      <c r="S9" s="141"/>
    </row>
    <row r="10" spans="1:19" x14ac:dyDescent="0.25">
      <c r="A10" s="10" t="s">
        <v>12</v>
      </c>
      <c r="B10" s="11">
        <f>SUM(B6+B7)*7.65%</f>
        <v>7266.1872599999997</v>
      </c>
      <c r="C10" s="11">
        <f t="shared" ref="C10:E10" si="2">SUM(C6+C7)*7.65%</f>
        <v>6667.4982599999994</v>
      </c>
      <c r="D10" s="11">
        <f t="shared" si="2"/>
        <v>5950.7820000000002</v>
      </c>
      <c r="E10" s="11">
        <f t="shared" si="2"/>
        <v>5812.2282599999999</v>
      </c>
      <c r="F10" s="11">
        <f>SUM(F6+F7)*7.65%</f>
        <v>5950.7820000000002</v>
      </c>
      <c r="G10" s="11">
        <f>SUM(B10:F10)</f>
        <v>31647.477779999997</v>
      </c>
      <c r="J10" s="9"/>
      <c r="L10" s="8"/>
      <c r="M10" s="8"/>
      <c r="N10" s="8"/>
      <c r="O10" s="8"/>
      <c r="P10" s="8"/>
      <c r="Q10" s="9"/>
      <c r="R10" s="141"/>
      <c r="S10" s="141"/>
    </row>
    <row r="11" spans="1:19" x14ac:dyDescent="0.25">
      <c r="A11" s="5"/>
      <c r="B11" s="11"/>
      <c r="C11" s="11"/>
      <c r="D11" s="11"/>
      <c r="E11" s="11"/>
      <c r="F11" s="12"/>
      <c r="G11" s="11"/>
      <c r="J11" s="9"/>
      <c r="L11" s="8"/>
      <c r="M11" s="8"/>
      <c r="N11" s="8"/>
      <c r="O11" s="8"/>
      <c r="P11" s="8"/>
      <c r="Q11" s="9"/>
      <c r="R11" s="141"/>
      <c r="S11" s="141"/>
    </row>
    <row r="12" spans="1:19" x14ac:dyDescent="0.25">
      <c r="A12" s="17"/>
      <c r="B12" s="18"/>
      <c r="C12" s="18"/>
      <c r="D12" s="18"/>
      <c r="E12" s="18"/>
      <c r="F12" s="19"/>
      <c r="G12" s="11"/>
      <c r="J12" s="9"/>
      <c r="L12" s="8"/>
      <c r="M12" s="8"/>
      <c r="N12" s="8"/>
      <c r="O12" s="8"/>
      <c r="P12" s="8"/>
      <c r="Q12" s="9"/>
      <c r="R12" s="141"/>
      <c r="S12" s="141"/>
    </row>
    <row r="13" spans="1:19" ht="20.25" customHeight="1" x14ac:dyDescent="0.25">
      <c r="A13" s="29" t="s">
        <v>13</v>
      </c>
      <c r="B13" s="72">
        <f>SUM(B6:B12)</f>
        <v>125947.62829200001</v>
      </c>
      <c r="C13" s="72">
        <f t="shared" ref="C13:F13" si="3">SUM(C6:C12)</f>
        <v>116428.86449199999</v>
      </c>
      <c r="D13" s="72">
        <f t="shared" si="3"/>
        <v>105033.54440000001</v>
      </c>
      <c r="E13" s="72">
        <f t="shared" si="3"/>
        <v>102830.630492</v>
      </c>
      <c r="F13" s="72">
        <f t="shared" si="3"/>
        <v>105033.54440000001</v>
      </c>
      <c r="G13" s="72">
        <f>SUM(B13:F13)</f>
        <v>555274.21207600005</v>
      </c>
      <c r="J13" s="71"/>
      <c r="L13" s="9"/>
      <c r="M13" s="9"/>
      <c r="N13" s="9"/>
      <c r="O13" s="9"/>
      <c r="P13" s="9"/>
      <c r="R13" s="143"/>
      <c r="S13" s="143"/>
    </row>
    <row r="14" spans="1:19" x14ac:dyDescent="0.25">
      <c r="A14" s="26"/>
      <c r="B14" s="36"/>
      <c r="C14" s="36"/>
      <c r="D14" s="36"/>
      <c r="E14" s="36"/>
      <c r="F14" s="36"/>
      <c r="G14" s="36"/>
      <c r="J14" s="71"/>
      <c r="K14" s="26"/>
      <c r="L14" s="103"/>
      <c r="M14" s="103"/>
      <c r="N14" s="103"/>
      <c r="O14" s="103"/>
      <c r="P14" s="103"/>
      <c r="Q14" s="71"/>
      <c r="R14" s="141"/>
      <c r="S14" s="141"/>
    </row>
    <row r="15" spans="1:19" x14ac:dyDescent="0.25">
      <c r="A15" s="26" t="s">
        <v>14</v>
      </c>
      <c r="B15" s="16"/>
      <c r="C15" s="16"/>
      <c r="D15" s="16"/>
      <c r="E15" s="16"/>
      <c r="F15" s="16"/>
      <c r="J15" s="9"/>
      <c r="L15" s="8"/>
      <c r="M15" s="8"/>
      <c r="N15" s="8"/>
      <c r="O15" s="8"/>
      <c r="P15" s="8"/>
      <c r="Q15" s="9"/>
      <c r="R15" s="141"/>
      <c r="S15" s="141"/>
    </row>
    <row r="16" spans="1:19" x14ac:dyDescent="0.25">
      <c r="A16" s="2" t="s">
        <v>15</v>
      </c>
      <c r="B16" s="9">
        <f>B5*112</f>
        <v>4557.28</v>
      </c>
      <c r="C16" s="9">
        <f t="shared" ref="C16:F16" si="4">C5*112</f>
        <v>4165.28</v>
      </c>
      <c r="D16" s="9">
        <f t="shared" si="4"/>
        <v>3696</v>
      </c>
      <c r="E16" s="9">
        <f t="shared" si="4"/>
        <v>3605.2799999999997</v>
      </c>
      <c r="F16" s="9">
        <f t="shared" si="4"/>
        <v>3696</v>
      </c>
      <c r="G16" s="9">
        <f>SUM(B16:F16)</f>
        <v>19719.84</v>
      </c>
      <c r="J16" s="9"/>
      <c r="L16" s="8"/>
      <c r="M16" s="8"/>
      <c r="N16" s="8"/>
      <c r="O16" s="8"/>
      <c r="P16" s="8"/>
      <c r="Q16" s="9"/>
      <c r="R16" s="141"/>
      <c r="S16" s="141"/>
    </row>
    <row r="17" spans="1:19" x14ac:dyDescent="0.25">
      <c r="A17" s="2" t="s">
        <v>17</v>
      </c>
      <c r="B17" s="9">
        <f>B5*80.08</f>
        <v>3258.4551999999999</v>
      </c>
      <c r="C17" s="9">
        <f t="shared" ref="C17:F17" si="5">C5*80.08</f>
        <v>2978.1751999999997</v>
      </c>
      <c r="D17" s="9">
        <f t="shared" si="5"/>
        <v>2642.64</v>
      </c>
      <c r="E17" s="9">
        <f t="shared" si="5"/>
        <v>2577.7751999999996</v>
      </c>
      <c r="F17" s="9">
        <f t="shared" si="5"/>
        <v>2642.64</v>
      </c>
      <c r="G17" s="9">
        <f t="shared" ref="G17:G21" si="6">SUM(B17:F17)</f>
        <v>14099.685599999999</v>
      </c>
      <c r="J17" s="9"/>
      <c r="L17" s="8"/>
      <c r="M17" s="8"/>
      <c r="N17" s="8"/>
      <c r="O17" s="8"/>
      <c r="P17" s="8"/>
      <c r="Q17" s="9"/>
      <c r="R17" s="141"/>
      <c r="S17" s="141"/>
    </row>
    <row r="18" spans="1:19" x14ac:dyDescent="0.25">
      <c r="A18" s="2" t="s">
        <v>16</v>
      </c>
      <c r="B18" s="9">
        <f>B5*96.2</f>
        <v>3914.3779999999997</v>
      </c>
      <c r="C18" s="9">
        <f t="shared" ref="C18:F18" si="7">C5*96.2</f>
        <v>3577.6779999999999</v>
      </c>
      <c r="D18" s="9">
        <f t="shared" si="7"/>
        <v>3174.6</v>
      </c>
      <c r="E18" s="9">
        <f t="shared" si="7"/>
        <v>3096.6779999999999</v>
      </c>
      <c r="F18" s="9">
        <f t="shared" si="7"/>
        <v>3174.6</v>
      </c>
      <c r="G18" s="9">
        <f t="shared" si="6"/>
        <v>16937.933999999997</v>
      </c>
      <c r="J18" s="9"/>
      <c r="L18" s="8"/>
      <c r="M18" s="8"/>
      <c r="N18" s="8"/>
      <c r="O18" s="8"/>
      <c r="P18" s="8"/>
      <c r="Q18" s="9"/>
      <c r="R18" s="141"/>
      <c r="S18" s="141"/>
    </row>
    <row r="19" spans="1:19" x14ac:dyDescent="0.25">
      <c r="A19" s="2" t="s">
        <v>10</v>
      </c>
      <c r="B19" s="9">
        <v>10420</v>
      </c>
      <c r="C19" s="9">
        <v>10420</v>
      </c>
      <c r="D19" s="9">
        <v>10420</v>
      </c>
      <c r="E19" s="9">
        <v>10420</v>
      </c>
      <c r="F19" s="9">
        <v>10420</v>
      </c>
      <c r="G19" s="9">
        <f t="shared" si="6"/>
        <v>52100</v>
      </c>
      <c r="J19" s="16"/>
      <c r="L19" s="9"/>
      <c r="M19" s="9"/>
      <c r="N19" s="9"/>
      <c r="O19" s="9"/>
      <c r="P19" s="8"/>
      <c r="Q19" s="9"/>
      <c r="R19" s="141"/>
      <c r="S19" s="141"/>
    </row>
    <row r="20" spans="1:19" x14ac:dyDescent="0.25">
      <c r="A20" s="2" t="s">
        <v>11</v>
      </c>
      <c r="B20" s="9">
        <f>SUM(B6+B7)*13.98%</f>
        <v>13278.601032</v>
      </c>
      <c r="C20" s="9">
        <f t="shared" ref="C20:F20" si="8">SUM(C6+C7)*13.98%</f>
        <v>12184.526232</v>
      </c>
      <c r="D20" s="9">
        <f t="shared" si="8"/>
        <v>10874.762400000001</v>
      </c>
      <c r="E20" s="9">
        <f t="shared" si="8"/>
        <v>10621.562232</v>
      </c>
      <c r="F20" s="9">
        <f t="shared" si="8"/>
        <v>10874.762400000001</v>
      </c>
      <c r="G20" s="9">
        <f t="shared" si="6"/>
        <v>57834.214295999998</v>
      </c>
      <c r="J20" s="36"/>
      <c r="L20" s="9"/>
      <c r="M20" s="9"/>
      <c r="N20" s="9"/>
      <c r="O20" s="9"/>
      <c r="P20" s="9"/>
      <c r="Q20" s="9"/>
      <c r="R20" s="141"/>
      <c r="S20" s="141"/>
    </row>
    <row r="21" spans="1:19" x14ac:dyDescent="0.25">
      <c r="A21" s="2" t="s">
        <v>12</v>
      </c>
      <c r="B21" s="16">
        <f>SUM(B6+B7)*7.65%</f>
        <v>7266.1872599999997</v>
      </c>
      <c r="C21" s="16">
        <f t="shared" ref="C21:F21" si="9">SUM(C6+C7)*7.65%</f>
        <v>6667.4982599999994</v>
      </c>
      <c r="D21" s="16">
        <f t="shared" si="9"/>
        <v>5950.7820000000002</v>
      </c>
      <c r="E21" s="16">
        <f t="shared" si="9"/>
        <v>5812.2282599999999</v>
      </c>
      <c r="F21" s="16">
        <f t="shared" si="9"/>
        <v>5950.7820000000002</v>
      </c>
      <c r="G21" s="9">
        <f t="shared" si="6"/>
        <v>31647.477779999997</v>
      </c>
      <c r="J21" s="36"/>
      <c r="L21" s="9"/>
      <c r="M21" s="9"/>
      <c r="N21" s="9"/>
      <c r="O21" s="9"/>
      <c r="P21" s="9"/>
      <c r="Q21" s="9"/>
      <c r="R21" s="146"/>
      <c r="S21" s="146"/>
    </row>
    <row r="22" spans="1:19" ht="21.75" customHeight="1" x14ac:dyDescent="0.25">
      <c r="A22" s="29" t="s">
        <v>18</v>
      </c>
      <c r="B22" s="11">
        <f>SUM(B16:B21)</f>
        <v>42694.901491999997</v>
      </c>
      <c r="C22" s="11">
        <f t="shared" ref="C22:F22" si="10">SUM(C16:C21)</f>
        <v>39993.157692000001</v>
      </c>
      <c r="D22" s="11">
        <f t="shared" si="10"/>
        <v>36758.784399999997</v>
      </c>
      <c r="E22" s="11">
        <f t="shared" si="10"/>
        <v>36133.523692000002</v>
      </c>
      <c r="F22" s="11">
        <f t="shared" si="10"/>
        <v>36758.784399999997</v>
      </c>
      <c r="G22" s="11">
        <f>SUM(B22:F22)</f>
        <v>192339.15167599998</v>
      </c>
      <c r="K22" s="34"/>
      <c r="L22" s="9"/>
      <c r="M22" s="9"/>
      <c r="N22" s="9"/>
      <c r="O22" s="9"/>
      <c r="P22" s="9"/>
      <c r="Q22" s="9"/>
      <c r="R22" s="146"/>
      <c r="S22" s="146"/>
    </row>
    <row r="23" spans="1:19" ht="14.25" customHeight="1" x14ac:dyDescent="0.25">
      <c r="I23" s="9"/>
      <c r="K23" s="34"/>
      <c r="L23" s="16"/>
      <c r="M23" s="16"/>
      <c r="N23" s="16"/>
      <c r="O23" s="16"/>
      <c r="Q23" s="9"/>
      <c r="R23" s="146"/>
      <c r="S23" s="146"/>
    </row>
    <row r="24" spans="1:19" ht="27" x14ac:dyDescent="0.25">
      <c r="A24" s="29" t="s">
        <v>19</v>
      </c>
      <c r="B24" s="30" t="s">
        <v>20</v>
      </c>
      <c r="C24" s="30" t="s">
        <v>21</v>
      </c>
      <c r="D24" s="30" t="s">
        <v>22</v>
      </c>
      <c r="E24" s="31" t="s">
        <v>23</v>
      </c>
      <c r="F24" s="30" t="s">
        <v>24</v>
      </c>
      <c r="G24" s="104" t="s">
        <v>50</v>
      </c>
      <c r="H24" s="31" t="s">
        <v>26</v>
      </c>
      <c r="I24" s="9"/>
      <c r="L24" s="16"/>
      <c r="M24" s="16"/>
      <c r="N24" s="16"/>
      <c r="O24" s="16"/>
      <c r="Q24" s="9"/>
      <c r="R24" s="146"/>
      <c r="S24" s="146"/>
    </row>
    <row r="25" spans="1:19" ht="16.5" customHeight="1" x14ac:dyDescent="0.25">
      <c r="A25" s="5" t="s">
        <v>27</v>
      </c>
      <c r="B25" s="101">
        <v>436373.7</v>
      </c>
      <c r="C25" s="101">
        <v>340764</v>
      </c>
      <c r="D25" s="101">
        <v>373656.66</v>
      </c>
      <c r="E25" s="11">
        <v>263508.98</v>
      </c>
      <c r="F25" s="101">
        <v>354093.36</v>
      </c>
      <c r="G25" s="105">
        <f>G6</f>
        <v>393692.52</v>
      </c>
      <c r="H25" s="15">
        <f>SUM(G25-F25)</f>
        <v>39599.160000000033</v>
      </c>
      <c r="I25" s="9"/>
      <c r="K25" s="26"/>
      <c r="L25" s="36"/>
      <c r="M25" s="36"/>
      <c r="N25" s="36"/>
      <c r="O25" s="36"/>
      <c r="P25" s="36"/>
      <c r="Q25" s="36"/>
      <c r="R25" s="142"/>
      <c r="S25" s="142"/>
    </row>
    <row r="26" spans="1:19" ht="16.5" customHeight="1" x14ac:dyDescent="0.25">
      <c r="A26" s="5" t="s">
        <v>51</v>
      </c>
      <c r="B26" s="101"/>
      <c r="C26" s="101"/>
      <c r="D26" s="101"/>
      <c r="E26" s="11"/>
      <c r="F26" s="101"/>
      <c r="G26" s="33">
        <f>G7</f>
        <v>20000</v>
      </c>
      <c r="H26" s="15">
        <f t="shared" ref="H26:H31" si="11">SUM(G26-F26)</f>
        <v>20000</v>
      </c>
      <c r="I26" s="9"/>
      <c r="R26" s="141"/>
      <c r="S26" s="141"/>
    </row>
    <row r="27" spans="1:19" ht="16.5" customHeight="1" x14ac:dyDescent="0.25">
      <c r="A27" s="5" t="s">
        <v>79</v>
      </c>
      <c r="B27" s="101"/>
      <c r="C27" s="101"/>
      <c r="D27" s="101"/>
      <c r="E27" s="11">
        <v>2968.34</v>
      </c>
      <c r="F27" s="101"/>
      <c r="G27" s="33"/>
      <c r="H27" s="15">
        <f t="shared" si="11"/>
        <v>0</v>
      </c>
      <c r="I27" s="9"/>
    </row>
    <row r="28" spans="1:19" ht="16.5" customHeight="1" x14ac:dyDescent="0.25">
      <c r="A28" s="5" t="s">
        <v>28</v>
      </c>
      <c r="B28" s="101">
        <v>78894</v>
      </c>
      <c r="C28" s="101">
        <v>55601</v>
      </c>
      <c r="D28" s="101">
        <v>41441.26</v>
      </c>
      <c r="E28" s="11">
        <v>48771.56</v>
      </c>
      <c r="F28" s="101">
        <v>51600</v>
      </c>
      <c r="G28" s="33">
        <f>G8</f>
        <v>52100</v>
      </c>
      <c r="H28" s="15">
        <f t="shared" si="11"/>
        <v>500</v>
      </c>
      <c r="I28" s="16"/>
    </row>
    <row r="29" spans="1:19" ht="16.5" customHeight="1" x14ac:dyDescent="0.25">
      <c r="A29" s="5" t="s">
        <v>11</v>
      </c>
      <c r="B29" s="101">
        <v>51213.89</v>
      </c>
      <c r="C29" s="101">
        <v>45798.68</v>
      </c>
      <c r="D29" s="101">
        <v>50090.45</v>
      </c>
      <c r="E29" s="11">
        <v>38661.199999999997</v>
      </c>
      <c r="F29" s="101">
        <v>51874.68</v>
      </c>
      <c r="G29" s="33">
        <f>SUM(G25+G26)*13.98%</f>
        <v>57834.214296000006</v>
      </c>
      <c r="H29" s="15">
        <f t="shared" si="11"/>
        <v>5959.5342960000053</v>
      </c>
      <c r="I29" s="9"/>
    </row>
    <row r="30" spans="1:19" ht="16.5" customHeight="1" x14ac:dyDescent="0.25">
      <c r="A30" s="5" t="s">
        <v>52</v>
      </c>
      <c r="B30" s="101">
        <v>33381.82</v>
      </c>
      <c r="C30" s="101">
        <v>26068.45</v>
      </c>
      <c r="D30" s="101">
        <v>28021.29</v>
      </c>
      <c r="E30" s="11">
        <v>20284.7</v>
      </c>
      <c r="F30" s="101">
        <v>27088.14</v>
      </c>
      <c r="G30" s="33">
        <f>SUM(G25+G26)*7.65%</f>
        <v>31647.477780000001</v>
      </c>
      <c r="H30" s="15">
        <f t="shared" si="11"/>
        <v>4559.3377800000017</v>
      </c>
    </row>
    <row r="31" spans="1:19" ht="16.5" customHeight="1" x14ac:dyDescent="0.25">
      <c r="A31" s="17" t="s">
        <v>53</v>
      </c>
      <c r="B31" s="106">
        <v>0</v>
      </c>
      <c r="C31" s="106">
        <v>9167.67</v>
      </c>
      <c r="D31" s="106">
        <v>14429.93</v>
      </c>
      <c r="E31" s="18">
        <v>10135.68</v>
      </c>
      <c r="F31" s="106">
        <v>12270</v>
      </c>
      <c r="G31" s="37">
        <f>R13</f>
        <v>0</v>
      </c>
      <c r="H31" s="15">
        <f t="shared" si="11"/>
        <v>-12270</v>
      </c>
    </row>
    <row r="32" spans="1:19" ht="18" customHeight="1" x14ac:dyDescent="0.25">
      <c r="A32" s="29" t="s">
        <v>32</v>
      </c>
      <c r="B32" s="107">
        <f t="shared" ref="B32:G32" si="12">SUM(B25:B31)</f>
        <v>599863.40999999992</v>
      </c>
      <c r="C32" s="107">
        <f>SUM(C25:C31)</f>
        <v>477399.8</v>
      </c>
      <c r="D32" s="107">
        <f>SUM(D25:D31)</f>
        <v>507639.58999999997</v>
      </c>
      <c r="E32" s="72">
        <f>SUM(E25:E31)</f>
        <v>384330.46</v>
      </c>
      <c r="F32" s="107">
        <f>SUM(F25:F31)</f>
        <v>496926.18</v>
      </c>
      <c r="G32" s="92">
        <f t="shared" si="12"/>
        <v>555274.21207600005</v>
      </c>
      <c r="H32" s="11">
        <f>SUM(H25:H31)</f>
        <v>58348.032076000032</v>
      </c>
      <c r="I32" s="16"/>
      <c r="K32" s="9"/>
      <c r="L32" s="9"/>
      <c r="M32" s="9"/>
      <c r="N32" s="9"/>
      <c r="O32" s="9"/>
    </row>
    <row r="33" spans="1:15" x14ac:dyDescent="0.25">
      <c r="K33" s="9"/>
      <c r="L33" s="9"/>
      <c r="M33" s="9"/>
      <c r="N33" s="9"/>
      <c r="O33" s="9"/>
    </row>
    <row r="35" spans="1:15" s="26" customFormat="1" ht="21.75" customHeight="1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15" x14ac:dyDescent="0.25">
      <c r="H36" s="16"/>
    </row>
    <row r="39" spans="1:15" x14ac:dyDescent="0.25">
      <c r="H39" s="26"/>
      <c r="I39" s="26"/>
    </row>
    <row r="56" spans="1:6" x14ac:dyDescent="0.25">
      <c r="B56" s="8"/>
      <c r="C56" s="8"/>
      <c r="D56" s="8"/>
      <c r="E56" s="8"/>
      <c r="F56" s="8"/>
    </row>
    <row r="58" spans="1:6" ht="18.75" x14ac:dyDescent="0.25">
      <c r="A58" s="66" t="s">
        <v>80</v>
      </c>
    </row>
    <row r="60" spans="1:6" x14ac:dyDescent="0.25">
      <c r="B60" s="4" t="s">
        <v>74</v>
      </c>
      <c r="C60" s="4" t="s">
        <v>75</v>
      </c>
      <c r="D60" s="4" t="s">
        <v>76</v>
      </c>
      <c r="E60" s="4" t="s">
        <v>76</v>
      </c>
      <c r="F60" s="4" t="s">
        <v>77</v>
      </c>
    </row>
    <row r="61" spans="1:6" x14ac:dyDescent="0.25">
      <c r="A61" s="2" t="s">
        <v>10</v>
      </c>
      <c r="B61" s="8">
        <v>12600</v>
      </c>
      <c r="C61" s="8">
        <v>13800</v>
      </c>
      <c r="D61" s="8">
        <v>12600</v>
      </c>
      <c r="E61" s="8">
        <v>12600</v>
      </c>
      <c r="F61" s="8">
        <v>12600</v>
      </c>
    </row>
    <row r="62" spans="1:6" x14ac:dyDescent="0.25">
      <c r="A62" s="2" t="s">
        <v>11</v>
      </c>
      <c r="B62" s="9">
        <f>L11+L23</f>
        <v>0</v>
      </c>
      <c r="C62" s="9">
        <f>M11+M23</f>
        <v>0</v>
      </c>
      <c r="D62" s="9">
        <f>N11+N23</f>
        <v>0</v>
      </c>
      <c r="E62" s="9">
        <f>O11+O23</f>
        <v>0</v>
      </c>
      <c r="F62" s="16">
        <f>P11</f>
        <v>0</v>
      </c>
    </row>
    <row r="63" spans="1:6" x14ac:dyDescent="0.25">
      <c r="A63" s="2" t="s">
        <v>12</v>
      </c>
      <c r="B63" s="9">
        <f>L12+L22</f>
        <v>0</v>
      </c>
      <c r="C63" s="9">
        <f>M12+M22</f>
        <v>0</v>
      </c>
      <c r="D63" s="9">
        <f>N12+N22</f>
        <v>0</v>
      </c>
      <c r="E63" s="9">
        <f>O12+O22</f>
        <v>0</v>
      </c>
      <c r="F63" s="16">
        <f>P12</f>
        <v>0</v>
      </c>
    </row>
    <row r="64" spans="1:6" x14ac:dyDescent="0.25">
      <c r="A64" s="2" t="s">
        <v>15</v>
      </c>
      <c r="B64" s="8">
        <f>SUM(4557.28*3%)+4557.28</f>
        <v>4693.9983999999995</v>
      </c>
      <c r="C64" s="8">
        <f>SUM(4165.28*3%)+4165.28</f>
        <v>4290.2384000000002</v>
      </c>
      <c r="D64" s="8">
        <f>SUM(3605.28*3%)+3605.28</f>
        <v>3713.4384</v>
      </c>
      <c r="E64" s="8">
        <f>SUM(3605.28*3%)+3605.28</f>
        <v>3713.4384</v>
      </c>
      <c r="F64" s="16">
        <f>P16</f>
        <v>0</v>
      </c>
    </row>
    <row r="65" spans="1:6" x14ac:dyDescent="0.25">
      <c r="A65" s="2" t="s">
        <v>16</v>
      </c>
      <c r="B65" s="8">
        <f>SUM(3258.46*3%)+3258.46</f>
        <v>3356.2138</v>
      </c>
      <c r="C65" s="8">
        <f>SUM(2978.18*3%)+2978.18</f>
        <v>3067.5254</v>
      </c>
      <c r="D65" s="8">
        <f>SUM(2577.78*3%)+2577.78</f>
        <v>2655.1134000000002</v>
      </c>
      <c r="E65" s="8">
        <f>SUM(2577.78*3%)+2577.78</f>
        <v>2655.1134000000002</v>
      </c>
      <c r="F65" s="16">
        <f>P17</f>
        <v>0</v>
      </c>
    </row>
    <row r="66" spans="1:6" x14ac:dyDescent="0.25">
      <c r="A66" s="2" t="s">
        <v>17</v>
      </c>
      <c r="B66" s="8">
        <f>SUM(3914.38*3%)+3914.38</f>
        <v>4031.8114</v>
      </c>
      <c r="C66" s="8">
        <f>SUM(3577.68*3%)+3577.68</f>
        <v>3685.0103999999997</v>
      </c>
      <c r="D66" s="8">
        <f>SUM(3096.68*3%)+3096.68</f>
        <v>3189.5803999999998</v>
      </c>
      <c r="E66" s="8">
        <f>SUM(3096.68*3%)+3096.68</f>
        <v>3189.5803999999998</v>
      </c>
      <c r="F66" s="16">
        <f>P18</f>
        <v>0</v>
      </c>
    </row>
    <row r="68" spans="1:6" x14ac:dyDescent="0.25">
      <c r="A68" s="2" t="s">
        <v>81</v>
      </c>
      <c r="B68" s="108">
        <f>SUM(B61:B66)</f>
        <v>24682.0236</v>
      </c>
      <c r="C68" s="108">
        <f>SUM(C61:C66)</f>
        <v>24842.7742</v>
      </c>
      <c r="D68" s="108">
        <f>SUM(D61:D66)</f>
        <v>22158.1322</v>
      </c>
      <c r="E68" s="108">
        <f>SUM(E61:E66)</f>
        <v>22158.1322</v>
      </c>
      <c r="F68" s="108">
        <f>SUM(F61:F66)</f>
        <v>12600</v>
      </c>
    </row>
    <row r="78" spans="1:6" x14ac:dyDescent="0.25">
      <c r="B78" s="13"/>
    </row>
  </sheetData>
  <sheetProtection algorithmName="SHA-512" hashValue="wLpjejhk4tI/RPkz+IjUXItVpHg9WtJXDiHyxll5tnJlpmXeafVKfwmrEJnHnYa4LNIS3fZ3Yi+QfQYYaLRX8w==" saltValue="SNYUrLl/f3vSvWnFPamGEQ==" spinCount="100000" sheet="1" objects="1" scenarios="1"/>
  <mergeCells count="23">
    <mergeCell ref="R9:S9"/>
    <mergeCell ref="R4:S4"/>
    <mergeCell ref="R5:S5"/>
    <mergeCell ref="R6:S6"/>
    <mergeCell ref="R7:S7"/>
    <mergeCell ref="R8:S8"/>
    <mergeCell ref="R21:S21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20:S20"/>
    <mergeCell ref="R22:S22"/>
    <mergeCell ref="R23:S23"/>
    <mergeCell ref="R24:S24"/>
    <mergeCell ref="R25:S25"/>
    <mergeCell ref="R26:S26"/>
  </mergeCells>
  <pageMargins left="0.7" right="0.7" top="0.75" bottom="0.75" header="0.3" footer="0.3"/>
  <pageSetup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5250E-99EE-4A90-B1CD-5C6784AFFCCE}">
  <sheetPr>
    <pageSetUpPr fitToPage="1"/>
  </sheetPr>
  <dimension ref="A1:O78"/>
  <sheetViews>
    <sheetView workbookViewId="0">
      <selection activeCell="F16" sqref="F16"/>
    </sheetView>
  </sheetViews>
  <sheetFormatPr defaultRowHeight="13.5" x14ac:dyDescent="0.25"/>
  <cols>
    <col min="1" max="1" width="21.7109375" style="2" customWidth="1"/>
    <col min="2" max="2" width="12" style="2" bestFit="1" customWidth="1"/>
    <col min="3" max="3" width="14.28515625" style="2" bestFit="1" customWidth="1"/>
    <col min="4" max="4" width="13.42578125" style="2" bestFit="1" customWidth="1"/>
    <col min="5" max="5" width="16.28515625" style="2" customWidth="1"/>
    <col min="6" max="6" width="16.42578125" style="2" bestFit="1" customWidth="1"/>
    <col min="7" max="7" width="17.140625" style="2" customWidth="1"/>
    <col min="8" max="8" width="13.5703125" style="2" customWidth="1"/>
    <col min="9" max="9" width="13.7109375" style="2" customWidth="1"/>
    <col min="10" max="10" width="12.5703125" style="2" customWidth="1"/>
    <col min="11" max="11" width="12.7109375" style="2" customWidth="1"/>
    <col min="12" max="12" width="14.5703125" style="2" customWidth="1"/>
    <col min="13" max="13" width="13" style="2" customWidth="1"/>
    <col min="14" max="14" width="12" style="2" bestFit="1" customWidth="1"/>
    <col min="15" max="16384" width="9.140625" style="2"/>
  </cols>
  <sheetData>
    <row r="1" spans="1:15" ht="18.75" x14ac:dyDescent="0.25">
      <c r="A1" s="66" t="s">
        <v>82</v>
      </c>
    </row>
    <row r="2" spans="1:15" x14ac:dyDescent="0.25">
      <c r="B2" s="147"/>
      <c r="C2" s="147"/>
      <c r="D2" s="147"/>
      <c r="E2" s="147"/>
      <c r="F2" s="147"/>
    </row>
    <row r="3" spans="1:15" x14ac:dyDescent="0.25">
      <c r="A3" s="5"/>
      <c r="B3" s="6" t="s">
        <v>83</v>
      </c>
      <c r="C3" s="6" t="s">
        <v>84</v>
      </c>
      <c r="D3" s="6" t="s">
        <v>85</v>
      </c>
      <c r="E3" s="7" t="s">
        <v>5</v>
      </c>
    </row>
    <row r="4" spans="1:15" x14ac:dyDescent="0.25">
      <c r="A4" s="5"/>
      <c r="B4" s="6"/>
      <c r="C4" s="5"/>
      <c r="D4" s="6"/>
      <c r="E4" s="10"/>
      <c r="K4" s="109"/>
      <c r="L4" s="109"/>
      <c r="M4" s="109"/>
      <c r="N4" s="109"/>
      <c r="O4" s="109"/>
    </row>
    <row r="5" spans="1:15" x14ac:dyDescent="0.25">
      <c r="A5" s="5" t="s">
        <v>8</v>
      </c>
      <c r="B5" s="11">
        <v>44</v>
      </c>
      <c r="C5" s="11">
        <v>27.5</v>
      </c>
      <c r="D5" s="11">
        <v>27.5</v>
      </c>
      <c r="E5" s="12"/>
      <c r="K5" s="109"/>
      <c r="L5" s="109"/>
      <c r="M5" s="109"/>
      <c r="N5" s="110"/>
    </row>
    <row r="6" spans="1:15" x14ac:dyDescent="0.25">
      <c r="A6" s="5" t="s">
        <v>9</v>
      </c>
      <c r="B6" s="11">
        <f>SUM(B5*2080)</f>
        <v>91520</v>
      </c>
      <c r="C6" s="11">
        <f>SUM(C5*2080)</f>
        <v>57200</v>
      </c>
      <c r="D6" s="11">
        <f>SUM(D5*2080)</f>
        <v>57200</v>
      </c>
      <c r="E6" s="12">
        <f>SUM(B6:D6)</f>
        <v>205920</v>
      </c>
      <c r="K6" s="9"/>
      <c r="L6" s="9"/>
      <c r="M6" s="9"/>
      <c r="N6" s="111"/>
      <c r="O6" s="9"/>
    </row>
    <row r="7" spans="1:15" x14ac:dyDescent="0.25">
      <c r="A7" s="5" t="s">
        <v>78</v>
      </c>
      <c r="B7" s="101">
        <v>660</v>
      </c>
      <c r="C7" s="101">
        <v>550</v>
      </c>
      <c r="D7" s="15">
        <v>550</v>
      </c>
      <c r="E7" s="12">
        <f>SUM(B7:D7)</f>
        <v>1760</v>
      </c>
      <c r="K7" s="9"/>
      <c r="L7" s="9"/>
      <c r="M7" s="9"/>
      <c r="N7" s="111"/>
      <c r="O7" s="9"/>
    </row>
    <row r="8" spans="1:15" x14ac:dyDescent="0.25">
      <c r="A8" s="5" t="s">
        <v>10</v>
      </c>
      <c r="B8" s="11">
        <v>10420</v>
      </c>
      <c r="C8" s="11">
        <v>10420</v>
      </c>
      <c r="D8" s="11">
        <v>10420</v>
      </c>
      <c r="E8" s="12">
        <f>SUM(B8:D8)</f>
        <v>31260</v>
      </c>
      <c r="K8" s="9"/>
      <c r="L8" s="9"/>
      <c r="M8" s="9"/>
      <c r="N8" s="111"/>
    </row>
    <row r="9" spans="1:15" x14ac:dyDescent="0.25">
      <c r="A9" s="10" t="s">
        <v>11</v>
      </c>
      <c r="B9" s="11">
        <f>SUM(B6+B7)*11.96%</f>
        <v>11024.728000000001</v>
      </c>
      <c r="C9" s="11">
        <f t="shared" ref="C9:D9" si="0">SUM(C6+C7)*11.96%</f>
        <v>6906.9000000000005</v>
      </c>
      <c r="D9" s="11">
        <f t="shared" si="0"/>
        <v>6906.9000000000005</v>
      </c>
      <c r="E9" s="12">
        <f>SUM(B9:D9)</f>
        <v>24838.528000000002</v>
      </c>
      <c r="K9" s="9"/>
      <c r="L9" s="9"/>
      <c r="M9" s="9"/>
      <c r="N9" s="111"/>
      <c r="O9" s="9"/>
    </row>
    <row r="10" spans="1:15" x14ac:dyDescent="0.25">
      <c r="A10" s="10" t="s">
        <v>12</v>
      </c>
      <c r="B10" s="11">
        <f>SUM(B6+B7)*7.65%</f>
        <v>7051.7699999999995</v>
      </c>
      <c r="C10" s="11">
        <f t="shared" ref="C10:D10" si="1">SUM(C6+C7)*7.65%</f>
        <v>4417.875</v>
      </c>
      <c r="D10" s="11">
        <f t="shared" si="1"/>
        <v>4417.875</v>
      </c>
      <c r="E10" s="12">
        <f>SUM(B10:D10)</f>
        <v>15887.52</v>
      </c>
      <c r="K10" s="9"/>
      <c r="L10" s="9"/>
      <c r="M10" s="9"/>
      <c r="N10" s="111"/>
      <c r="O10" s="9"/>
    </row>
    <row r="11" spans="1:15" x14ac:dyDescent="0.25">
      <c r="A11" s="5" t="s">
        <v>37</v>
      </c>
      <c r="B11" s="11"/>
      <c r="C11" s="11"/>
      <c r="D11" s="11"/>
      <c r="E11" s="12"/>
      <c r="K11" s="9"/>
      <c r="L11" s="9"/>
      <c r="M11" s="9"/>
      <c r="N11" s="111"/>
      <c r="O11" s="9"/>
    </row>
    <row r="12" spans="1:15" ht="14.25" thickBot="1" x14ac:dyDescent="0.3">
      <c r="A12" s="17"/>
      <c r="B12" s="18"/>
      <c r="C12" s="18"/>
      <c r="D12" s="18"/>
      <c r="E12" s="19"/>
      <c r="K12" s="9"/>
      <c r="L12" s="9"/>
      <c r="M12" s="9"/>
      <c r="N12" s="111"/>
      <c r="O12" s="9"/>
    </row>
    <row r="13" spans="1:15" ht="14.25" thickBot="1" x14ac:dyDescent="0.3">
      <c r="A13" s="20" t="s">
        <v>13</v>
      </c>
      <c r="B13" s="21">
        <f>SUM(B6:B12)</f>
        <v>120676.49800000001</v>
      </c>
      <c r="C13" s="21">
        <f t="shared" ref="C13:E13" si="2">SUM(C6:C12)</f>
        <v>79494.774999999994</v>
      </c>
      <c r="D13" s="21">
        <f t="shared" si="2"/>
        <v>79494.774999999994</v>
      </c>
      <c r="E13" s="22">
        <f t="shared" si="2"/>
        <v>279666.04800000001</v>
      </c>
      <c r="K13" s="9"/>
      <c r="L13" s="9"/>
      <c r="M13" s="9"/>
      <c r="N13" s="111"/>
      <c r="O13" s="9"/>
    </row>
    <row r="14" spans="1:15" x14ac:dyDescent="0.25">
      <c r="A14" s="23"/>
      <c r="B14" s="24"/>
      <c r="C14" s="24"/>
      <c r="D14" s="24"/>
      <c r="E14" s="25"/>
      <c r="J14" s="26"/>
      <c r="K14" s="71"/>
      <c r="L14" s="71"/>
      <c r="M14" s="71"/>
      <c r="N14" s="112"/>
      <c r="O14" s="9"/>
    </row>
    <row r="15" spans="1:15" x14ac:dyDescent="0.25">
      <c r="A15" s="26" t="s">
        <v>14</v>
      </c>
      <c r="B15" s="16"/>
      <c r="C15" s="16"/>
      <c r="D15" s="16"/>
      <c r="E15" s="16"/>
      <c r="K15" s="9"/>
      <c r="L15" s="9"/>
      <c r="M15" s="9"/>
      <c r="N15" s="111"/>
      <c r="O15" s="9"/>
    </row>
    <row r="16" spans="1:15" x14ac:dyDescent="0.25">
      <c r="A16" s="2" t="s">
        <v>15</v>
      </c>
      <c r="B16" s="9">
        <f>B5*112</f>
        <v>4928</v>
      </c>
      <c r="C16" s="9">
        <f t="shared" ref="C16:D16" si="3">C5*112</f>
        <v>3080</v>
      </c>
      <c r="D16" s="9">
        <f t="shared" si="3"/>
        <v>3080</v>
      </c>
      <c r="E16" s="9">
        <f>SUM(B16:D16)</f>
        <v>11088</v>
      </c>
      <c r="J16" s="16"/>
      <c r="K16" s="16"/>
      <c r="L16" s="16"/>
      <c r="M16" s="16"/>
      <c r="N16" s="111"/>
      <c r="O16" s="9"/>
    </row>
    <row r="17" spans="1:15" x14ac:dyDescent="0.25">
      <c r="A17" s="2" t="s">
        <v>17</v>
      </c>
      <c r="B17" s="9">
        <f>B5*80.08</f>
        <v>3523.52</v>
      </c>
      <c r="C17" s="9">
        <f t="shared" ref="C17:D17" si="4">C5*80.08</f>
        <v>2202.1999999999998</v>
      </c>
      <c r="D17" s="9">
        <f t="shared" si="4"/>
        <v>2202.1999999999998</v>
      </c>
      <c r="E17" s="9">
        <f>SUM(B17:D17)</f>
        <v>7927.9199999999992</v>
      </c>
      <c r="J17" s="9"/>
      <c r="K17" s="9"/>
      <c r="L17" s="9"/>
      <c r="M17" s="9"/>
      <c r="N17" s="111"/>
      <c r="O17" s="9"/>
    </row>
    <row r="18" spans="1:15" x14ac:dyDescent="0.25">
      <c r="A18" s="2" t="s">
        <v>16</v>
      </c>
      <c r="B18" s="9">
        <f>B5*96.2</f>
        <v>4232.8</v>
      </c>
      <c r="C18" s="9">
        <f t="shared" ref="C18:D18" si="5">C5*96.2</f>
        <v>2645.5</v>
      </c>
      <c r="D18" s="9">
        <f t="shared" si="5"/>
        <v>2645.5</v>
      </c>
      <c r="E18" s="9">
        <f>SUM(B18:D18)</f>
        <v>9523.7999999999993</v>
      </c>
      <c r="J18" s="16"/>
      <c r="K18" s="16"/>
      <c r="L18" s="16"/>
      <c r="M18" s="16"/>
      <c r="N18" s="111"/>
      <c r="O18" s="9"/>
    </row>
    <row r="19" spans="1:15" x14ac:dyDescent="0.25">
      <c r="A19" s="2" t="s">
        <v>10</v>
      </c>
      <c r="B19" s="9">
        <v>10420</v>
      </c>
      <c r="C19" s="9">
        <v>10420</v>
      </c>
      <c r="D19" s="9">
        <v>10420</v>
      </c>
      <c r="E19" s="9">
        <f>SUM(B19:D19)</f>
        <v>31260</v>
      </c>
      <c r="N19" s="111"/>
      <c r="O19" s="9"/>
    </row>
    <row r="20" spans="1:15" x14ac:dyDescent="0.25">
      <c r="A20" s="2" t="s">
        <v>11</v>
      </c>
      <c r="B20" s="9">
        <f>B9</f>
        <v>11024.728000000001</v>
      </c>
      <c r="C20" s="9">
        <f t="shared" ref="C20:D21" si="6">C9</f>
        <v>6906.9000000000005</v>
      </c>
      <c r="D20" s="9">
        <f t="shared" si="6"/>
        <v>6906.9000000000005</v>
      </c>
      <c r="E20" s="9">
        <f t="shared" ref="E20:E21" si="7">SUM(B20:D20)</f>
        <v>24838.528000000002</v>
      </c>
      <c r="J20" s="16"/>
      <c r="K20" s="16"/>
      <c r="L20" s="16"/>
      <c r="M20" s="16"/>
      <c r="N20" s="111"/>
      <c r="O20" s="9"/>
    </row>
    <row r="21" spans="1:15" x14ac:dyDescent="0.25">
      <c r="A21" s="2" t="s">
        <v>12</v>
      </c>
      <c r="B21" s="16">
        <f>B10</f>
        <v>7051.7699999999995</v>
      </c>
      <c r="C21" s="16">
        <f t="shared" si="6"/>
        <v>4417.875</v>
      </c>
      <c r="D21" s="16">
        <f t="shared" si="6"/>
        <v>4417.875</v>
      </c>
      <c r="E21" s="9">
        <f t="shared" si="7"/>
        <v>15887.52</v>
      </c>
      <c r="J21" s="9"/>
      <c r="K21" s="9"/>
      <c r="L21" s="9"/>
      <c r="M21" s="9"/>
      <c r="N21" s="111"/>
      <c r="O21" s="9"/>
    </row>
    <row r="22" spans="1:15" x14ac:dyDescent="0.25">
      <c r="A22" s="27" t="s">
        <v>18</v>
      </c>
      <c r="B22" s="28">
        <f>SUM(B16:B21)</f>
        <v>41180.817999999999</v>
      </c>
      <c r="C22" s="28">
        <f t="shared" ref="C22:E22" si="8">SUM(C16:C21)</f>
        <v>29672.475000000002</v>
      </c>
      <c r="D22" s="28">
        <f t="shared" si="8"/>
        <v>29672.475000000002</v>
      </c>
      <c r="E22" s="28">
        <f t="shared" si="8"/>
        <v>100525.76800000001</v>
      </c>
      <c r="F22" s="16"/>
      <c r="J22" s="34"/>
      <c r="K22" s="9"/>
      <c r="L22" s="9"/>
      <c r="M22" s="9"/>
      <c r="N22" s="111"/>
      <c r="O22" s="9"/>
    </row>
    <row r="23" spans="1:15" x14ac:dyDescent="0.25">
      <c r="F23" s="9"/>
      <c r="J23" s="34"/>
      <c r="K23" s="16"/>
      <c r="L23" s="16"/>
      <c r="M23" s="16"/>
      <c r="N23" s="111"/>
    </row>
    <row r="24" spans="1:15" x14ac:dyDescent="0.25">
      <c r="F24" s="9"/>
      <c r="N24" s="111"/>
    </row>
    <row r="25" spans="1:15" x14ac:dyDescent="0.25">
      <c r="F25" s="9"/>
      <c r="J25" s="26"/>
      <c r="K25" s="36"/>
      <c r="L25" s="36"/>
      <c r="M25" s="36"/>
      <c r="N25" s="36"/>
    </row>
    <row r="26" spans="1:15" ht="28.5" customHeight="1" x14ac:dyDescent="0.25">
      <c r="A26" s="29" t="s">
        <v>19</v>
      </c>
      <c r="B26" s="30" t="s">
        <v>20</v>
      </c>
      <c r="C26" s="30" t="s">
        <v>21</v>
      </c>
      <c r="D26" s="30" t="s">
        <v>22</v>
      </c>
      <c r="E26" s="31" t="s">
        <v>86</v>
      </c>
      <c r="F26" s="31" t="s">
        <v>87</v>
      </c>
      <c r="G26" s="74" t="s">
        <v>88</v>
      </c>
      <c r="H26" s="31" t="s">
        <v>26</v>
      </c>
    </row>
    <row r="27" spans="1:15" x14ac:dyDescent="0.25">
      <c r="A27" s="5" t="s">
        <v>27</v>
      </c>
      <c r="B27" s="11">
        <f>SUM(106146.96+2959)</f>
        <v>109105.96</v>
      </c>
      <c r="C27" s="11">
        <v>138128</v>
      </c>
      <c r="D27" s="11">
        <v>171759.94</v>
      </c>
      <c r="E27" s="11">
        <f>E42</f>
        <v>116768.37999999999</v>
      </c>
      <c r="F27" s="11">
        <f>E53</f>
        <v>181260</v>
      </c>
      <c r="G27" s="75">
        <f>E6</f>
        <v>205920</v>
      </c>
      <c r="H27" s="15">
        <f>SUM(G27-F27)</f>
        <v>24660</v>
      </c>
    </row>
    <row r="28" spans="1:15" x14ac:dyDescent="0.25">
      <c r="A28" s="5" t="s">
        <v>89</v>
      </c>
      <c r="B28" s="11"/>
      <c r="C28" s="11"/>
      <c r="D28" s="11"/>
      <c r="E28" s="11"/>
      <c r="F28" s="11"/>
      <c r="G28" s="76">
        <f>E7</f>
        <v>1760</v>
      </c>
      <c r="H28" s="15">
        <f t="shared" ref="H28:H34" si="9">SUM(G28-F28)</f>
        <v>1760</v>
      </c>
      <c r="I28" s="41"/>
      <c r="J28" s="41"/>
    </row>
    <row r="29" spans="1:15" x14ac:dyDescent="0.25">
      <c r="A29" s="5" t="s">
        <v>90</v>
      </c>
      <c r="B29" s="11"/>
      <c r="C29" s="11"/>
      <c r="D29" s="11"/>
      <c r="E29" s="11">
        <f>E43</f>
        <v>3674.53</v>
      </c>
      <c r="F29" s="11"/>
      <c r="G29" s="75"/>
      <c r="H29" s="15">
        <f t="shared" si="9"/>
        <v>0</v>
      </c>
      <c r="I29" s="41"/>
      <c r="J29" s="41"/>
    </row>
    <row r="30" spans="1:15" x14ac:dyDescent="0.25">
      <c r="A30" s="5" t="s">
        <v>28</v>
      </c>
      <c r="B30" s="11">
        <v>24325.65</v>
      </c>
      <c r="C30" s="11">
        <v>26415.19</v>
      </c>
      <c r="D30" s="11">
        <v>33185.86</v>
      </c>
      <c r="E30" s="11">
        <f>E45</f>
        <v>27130.75</v>
      </c>
      <c r="F30" s="11">
        <f>E56</f>
        <v>40572</v>
      </c>
      <c r="G30" s="75">
        <f>E8</f>
        <v>31260</v>
      </c>
      <c r="H30" s="15">
        <f t="shared" si="9"/>
        <v>-9312</v>
      </c>
      <c r="I30" s="41"/>
      <c r="J30" s="41"/>
    </row>
    <row r="31" spans="1:15" x14ac:dyDescent="0.25">
      <c r="A31" s="5" t="s">
        <v>11</v>
      </c>
      <c r="B31" s="11">
        <v>10952.23</v>
      </c>
      <c r="C31" s="11">
        <v>14574.56</v>
      </c>
      <c r="D31" s="11">
        <v>20023.740000000002</v>
      </c>
      <c r="E31" s="11">
        <f>E46</f>
        <v>13147.650000000001</v>
      </c>
      <c r="F31" s="11">
        <f>E57</f>
        <v>20777.53</v>
      </c>
      <c r="G31" s="75">
        <f>SUM(G27+G28)*11.96%</f>
        <v>24838.528000000002</v>
      </c>
      <c r="H31" s="15">
        <f t="shared" si="9"/>
        <v>4060.9980000000032</v>
      </c>
      <c r="I31" s="41"/>
      <c r="J31" s="41"/>
    </row>
    <row r="32" spans="1:15" x14ac:dyDescent="0.25">
      <c r="A32" s="5" t="s">
        <v>52</v>
      </c>
      <c r="B32" s="11">
        <v>7355.24</v>
      </c>
      <c r="C32" s="11">
        <v>9801.7900000000009</v>
      </c>
      <c r="D32" s="11">
        <v>12901.05</v>
      </c>
      <c r="E32" s="11">
        <f>E47</f>
        <v>8513.7200000000012</v>
      </c>
      <c r="F32" s="11">
        <f>E58</f>
        <v>13866.400000000001</v>
      </c>
      <c r="G32" s="75">
        <f>SUM(G27+G28)*7.65%</f>
        <v>15887.52</v>
      </c>
      <c r="H32" s="15">
        <f t="shared" si="9"/>
        <v>2021.119999999999</v>
      </c>
      <c r="I32" s="41"/>
      <c r="J32" s="41"/>
    </row>
    <row r="33" spans="1:9" x14ac:dyDescent="0.25">
      <c r="A33" s="5" t="s">
        <v>53</v>
      </c>
      <c r="B33" s="11"/>
      <c r="C33" s="11">
        <v>1599.73</v>
      </c>
      <c r="D33" s="11">
        <v>5031.57</v>
      </c>
      <c r="E33" s="11">
        <f>E48</f>
        <v>2610.15</v>
      </c>
      <c r="F33" s="11">
        <f>E59</f>
        <v>8033.88</v>
      </c>
      <c r="G33" s="113"/>
      <c r="H33" s="15">
        <f t="shared" si="9"/>
        <v>-8033.88</v>
      </c>
    </row>
    <row r="34" spans="1:9" x14ac:dyDescent="0.25">
      <c r="A34" s="5"/>
      <c r="B34" s="11"/>
      <c r="C34" s="11"/>
      <c r="D34" s="11"/>
      <c r="E34" s="11"/>
      <c r="F34" s="11"/>
      <c r="G34" s="75"/>
      <c r="H34" s="15">
        <f t="shared" si="9"/>
        <v>0</v>
      </c>
    </row>
    <row r="35" spans="1:9" x14ac:dyDescent="0.25">
      <c r="A35" s="29" t="s">
        <v>32</v>
      </c>
      <c r="B35" s="72">
        <f>SUM(B27:B33)</f>
        <v>151739.08000000002</v>
      </c>
      <c r="C35" s="72">
        <f>SUM(C27:C33)</f>
        <v>190519.27000000002</v>
      </c>
      <c r="D35" s="72">
        <f>SUM(D27:D33)</f>
        <v>242902.15999999997</v>
      </c>
      <c r="E35" s="72">
        <f>SUM(E27:E33)</f>
        <v>171845.17999999996</v>
      </c>
      <c r="F35" s="72">
        <f>SUM(F27:F33)</f>
        <v>264509.81</v>
      </c>
      <c r="G35" s="92">
        <f>SUM(G27:G34)</f>
        <v>279666.04800000001</v>
      </c>
      <c r="H35" s="11">
        <f>SUM(H27:H32)</f>
        <v>23190.118000000002</v>
      </c>
      <c r="I35" s="16"/>
    </row>
    <row r="40" spans="1:9" x14ac:dyDescent="0.25">
      <c r="A40" s="148" t="s">
        <v>91</v>
      </c>
      <c r="B40" s="148"/>
      <c r="C40" s="148"/>
      <c r="D40" s="148"/>
      <c r="E40" s="148"/>
    </row>
    <row r="41" spans="1:9" x14ac:dyDescent="0.25">
      <c r="A41" s="67"/>
      <c r="B41" s="114" t="s">
        <v>92</v>
      </c>
      <c r="C41" s="114" t="s">
        <v>93</v>
      </c>
      <c r="D41" s="114" t="s">
        <v>94</v>
      </c>
      <c r="E41" s="115" t="s">
        <v>95</v>
      </c>
    </row>
    <row r="42" spans="1:9" x14ac:dyDescent="0.25">
      <c r="A42" s="116" t="s">
        <v>27</v>
      </c>
      <c r="B42" s="117">
        <v>112041.18</v>
      </c>
      <c r="C42" s="117">
        <v>3189.7</v>
      </c>
      <c r="D42" s="117">
        <v>1537.5</v>
      </c>
      <c r="E42" s="118">
        <f t="shared" ref="E42:E48" si="10">SUM(B42:D42)</f>
        <v>116768.37999999999</v>
      </c>
    </row>
    <row r="43" spans="1:9" x14ac:dyDescent="0.25">
      <c r="A43" s="116" t="s">
        <v>90</v>
      </c>
      <c r="B43" s="117">
        <v>3674.53</v>
      </c>
      <c r="C43" s="117">
        <v>0</v>
      </c>
      <c r="D43" s="117">
        <v>0</v>
      </c>
      <c r="E43" s="118">
        <f t="shared" si="10"/>
        <v>3674.53</v>
      </c>
    </row>
    <row r="44" spans="1:9" x14ac:dyDescent="0.25">
      <c r="A44" s="116" t="s">
        <v>89</v>
      </c>
      <c r="B44" s="117">
        <v>0</v>
      </c>
      <c r="C44" s="117">
        <v>0</v>
      </c>
      <c r="D44" s="117">
        <v>0</v>
      </c>
      <c r="E44" s="118">
        <f t="shared" si="10"/>
        <v>0</v>
      </c>
    </row>
    <row r="45" spans="1:9" x14ac:dyDescent="0.25">
      <c r="A45" s="116" t="s">
        <v>28</v>
      </c>
      <c r="B45" s="117">
        <v>27016.33</v>
      </c>
      <c r="C45" s="117">
        <v>90.91</v>
      </c>
      <c r="D45" s="117">
        <v>23.51</v>
      </c>
      <c r="E45" s="118">
        <f t="shared" si="10"/>
        <v>27130.75</v>
      </c>
    </row>
    <row r="46" spans="1:9" ht="15" customHeight="1" x14ac:dyDescent="0.25">
      <c r="A46" s="116" t="s">
        <v>11</v>
      </c>
      <c r="B46" s="117">
        <v>12826.04</v>
      </c>
      <c r="C46" s="117">
        <v>315.02999999999997</v>
      </c>
      <c r="D46" s="117">
        <v>6.58</v>
      </c>
      <c r="E46" s="118">
        <f t="shared" si="10"/>
        <v>13147.650000000001</v>
      </c>
    </row>
    <row r="47" spans="1:9" x14ac:dyDescent="0.25">
      <c r="A47" s="116" t="s">
        <v>52</v>
      </c>
      <c r="B47" s="117">
        <v>8165.13</v>
      </c>
      <c r="C47" s="117">
        <v>233.58</v>
      </c>
      <c r="D47" s="117">
        <v>115.01</v>
      </c>
      <c r="E47" s="118">
        <f t="shared" si="10"/>
        <v>8513.7200000000012</v>
      </c>
    </row>
    <row r="48" spans="1:9" x14ac:dyDescent="0.25">
      <c r="A48" s="116" t="s">
        <v>53</v>
      </c>
      <c r="B48" s="117">
        <v>2451.0500000000002</v>
      </c>
      <c r="C48" s="117">
        <v>159.1</v>
      </c>
      <c r="D48" s="117">
        <v>0</v>
      </c>
      <c r="E48" s="118">
        <f t="shared" si="10"/>
        <v>2610.15</v>
      </c>
    </row>
    <row r="49" spans="1:5" x14ac:dyDescent="0.25">
      <c r="A49" s="119"/>
      <c r="B49" s="120">
        <f>SUM(B42:B48)</f>
        <v>166174.25999999998</v>
      </c>
      <c r="C49" s="120">
        <f>SUM(C42:C48)</f>
        <v>3988.3199999999993</v>
      </c>
      <c r="D49" s="120">
        <f>SUM(D42:D48)</f>
        <v>1682.6</v>
      </c>
      <c r="E49" s="121">
        <f>SUM(E42:E48)</f>
        <v>171845.17999999996</v>
      </c>
    </row>
    <row r="51" spans="1:5" x14ac:dyDescent="0.25">
      <c r="A51" s="148" t="s">
        <v>96</v>
      </c>
      <c r="B51" s="148"/>
      <c r="C51" s="148"/>
      <c r="D51" s="148"/>
      <c r="E51" s="148"/>
    </row>
    <row r="52" spans="1:5" x14ac:dyDescent="0.25">
      <c r="A52" s="67"/>
      <c r="B52" s="114" t="s">
        <v>92</v>
      </c>
      <c r="C52" s="114" t="s">
        <v>93</v>
      </c>
      <c r="D52" s="114" t="s">
        <v>94</v>
      </c>
      <c r="E52" s="115" t="s">
        <v>95</v>
      </c>
    </row>
    <row r="53" spans="1:5" x14ac:dyDescent="0.25">
      <c r="A53" s="116" t="s">
        <v>27</v>
      </c>
      <c r="B53" s="117">
        <v>141447</v>
      </c>
      <c r="C53" s="117">
        <v>29049</v>
      </c>
      <c r="D53" s="117">
        <v>10764</v>
      </c>
      <c r="E53" s="118">
        <f t="shared" ref="E53:E59" si="11">SUM(B53:D53)</f>
        <v>181260</v>
      </c>
    </row>
    <row r="54" spans="1:5" x14ac:dyDescent="0.25">
      <c r="A54" s="116" t="s">
        <v>90</v>
      </c>
      <c r="B54" s="117">
        <v>0</v>
      </c>
      <c r="C54" s="117"/>
      <c r="D54" s="117"/>
      <c r="E54" s="118">
        <f t="shared" si="11"/>
        <v>0</v>
      </c>
    </row>
    <row r="55" spans="1:5" x14ac:dyDescent="0.25">
      <c r="A55" s="116" t="s">
        <v>89</v>
      </c>
      <c r="B55" s="117"/>
      <c r="C55" s="117"/>
      <c r="D55" s="117"/>
      <c r="E55" s="118">
        <f t="shared" si="11"/>
        <v>0</v>
      </c>
    </row>
    <row r="56" spans="1:5" x14ac:dyDescent="0.25">
      <c r="A56" s="116" t="s">
        <v>28</v>
      </c>
      <c r="B56" s="117">
        <v>29484</v>
      </c>
      <c r="C56" s="117">
        <v>6048</v>
      </c>
      <c r="D56" s="117">
        <v>5040</v>
      </c>
      <c r="E56" s="118">
        <f t="shared" si="11"/>
        <v>40572</v>
      </c>
    </row>
    <row r="57" spans="1:5" ht="15" customHeight="1" x14ac:dyDescent="0.25">
      <c r="A57" s="116" t="s">
        <v>11</v>
      </c>
      <c r="B57" s="117">
        <v>16917.060000000001</v>
      </c>
      <c r="C57" s="117">
        <v>3474.26</v>
      </c>
      <c r="D57" s="117">
        <v>386.21</v>
      </c>
      <c r="E57" s="118">
        <f t="shared" si="11"/>
        <v>20777.53</v>
      </c>
    </row>
    <row r="58" spans="1:5" x14ac:dyDescent="0.25">
      <c r="A58" s="116" t="s">
        <v>52</v>
      </c>
      <c r="B58" s="117">
        <v>10820.7</v>
      </c>
      <c r="C58" s="117">
        <v>2222.25</v>
      </c>
      <c r="D58" s="117">
        <v>823.45</v>
      </c>
      <c r="E58" s="118">
        <f t="shared" si="11"/>
        <v>13866.400000000001</v>
      </c>
    </row>
    <row r="59" spans="1:5" x14ac:dyDescent="0.25">
      <c r="A59" s="116" t="s">
        <v>53</v>
      </c>
      <c r="B59" s="117">
        <v>7500</v>
      </c>
      <c r="C59" s="117">
        <v>80.72</v>
      </c>
      <c r="D59" s="117">
        <v>453.16</v>
      </c>
      <c r="E59" s="118">
        <f t="shared" si="11"/>
        <v>8033.88</v>
      </c>
    </row>
    <row r="60" spans="1:5" x14ac:dyDescent="0.25">
      <c r="A60" s="119"/>
      <c r="B60" s="120">
        <f>SUM(B53:B59)</f>
        <v>206168.76</v>
      </c>
      <c r="C60" s="120">
        <f>SUM(C53:C59)</f>
        <v>40874.230000000003</v>
      </c>
      <c r="D60" s="120">
        <f>SUM(D53:D59)</f>
        <v>17466.82</v>
      </c>
      <c r="E60" s="121">
        <f>SUM(E53:E59)</f>
        <v>264509.81</v>
      </c>
    </row>
    <row r="65" spans="2:6" x14ac:dyDescent="0.25">
      <c r="F65" s="9"/>
    </row>
    <row r="78" spans="2:6" x14ac:dyDescent="0.25">
      <c r="B78" s="122"/>
      <c r="C78" s="122"/>
      <c r="D78" s="122"/>
      <c r="E78" s="122"/>
    </row>
  </sheetData>
  <sheetProtection algorithmName="SHA-512" hashValue="dSZKPOFR/e5qXY2auGtqtNtFLyZGj3uBnvDZ6l8nifb/Zv7bbRLZhhzMM9z3Hk+XdTdtN3rutKOnEysVFjVAEQ==" saltValue="r7EN7dfgI2M6G1QuNDTzYA==" spinCount="100000" sheet="1" objects="1" scenarios="1"/>
  <mergeCells count="3">
    <mergeCell ref="B2:F2"/>
    <mergeCell ref="A40:E40"/>
    <mergeCell ref="A51:E51"/>
  </mergeCells>
  <pageMargins left="0.7" right="0.7" top="0.75" bottom="0.75" header="0.3" footer="0.3"/>
  <pageSetup scale="97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FE735-B371-4380-BAC4-7AF5DF015A4E}">
  <sheetPr>
    <pageSetUpPr fitToPage="1"/>
  </sheetPr>
  <dimension ref="A1:Q59"/>
  <sheetViews>
    <sheetView topLeftCell="A11" workbookViewId="0">
      <selection activeCell="F16" sqref="F16"/>
    </sheetView>
  </sheetViews>
  <sheetFormatPr defaultRowHeight="13.5" x14ac:dyDescent="0.25"/>
  <cols>
    <col min="1" max="1" width="29.140625" style="2" customWidth="1"/>
    <col min="2" max="2" width="14.140625" style="2" bestFit="1" customWidth="1"/>
    <col min="3" max="3" width="13.42578125" style="2" customWidth="1"/>
    <col min="4" max="4" width="14.28515625" style="2" customWidth="1"/>
    <col min="5" max="5" width="14.140625" style="2" customWidth="1"/>
    <col min="6" max="7" width="16.5703125" style="2" customWidth="1"/>
    <col min="8" max="8" width="15.5703125" style="2" bestFit="1" customWidth="1"/>
    <col min="9" max="9" width="13.7109375" style="2" bestFit="1" customWidth="1"/>
    <col min="10" max="10" width="6.85546875" style="2" customWidth="1"/>
    <col min="11" max="11" width="20.140625" style="2" bestFit="1" customWidth="1"/>
    <col min="12" max="12" width="14.140625" style="2" bestFit="1" customWidth="1"/>
    <col min="13" max="13" width="19.140625" style="2" bestFit="1" customWidth="1"/>
    <col min="14" max="16" width="10" style="2" bestFit="1" customWidth="1"/>
    <col min="17" max="17" width="11" style="2" bestFit="1" customWidth="1"/>
    <col min="18" max="18" width="10" style="2" bestFit="1" customWidth="1"/>
    <col min="19" max="16384" width="9.140625" style="2"/>
  </cols>
  <sheetData>
    <row r="1" spans="1:17" ht="18.75" x14ac:dyDescent="0.25">
      <c r="A1" s="1" t="s">
        <v>97</v>
      </c>
    </row>
    <row r="2" spans="1:17" ht="6.75" customHeight="1" x14ac:dyDescent="0.25">
      <c r="B2" s="3"/>
      <c r="C2" s="3"/>
    </row>
    <row r="3" spans="1:17" ht="40.5" x14ac:dyDescent="0.25">
      <c r="A3" s="10"/>
      <c r="B3" s="31" t="s">
        <v>98</v>
      </c>
      <c r="C3" s="31" t="s">
        <v>99</v>
      </c>
      <c r="D3" s="30" t="s">
        <v>5</v>
      </c>
      <c r="F3" s="144"/>
      <c r="G3" s="144"/>
      <c r="H3" s="3"/>
      <c r="I3" s="3"/>
    </row>
    <row r="4" spans="1:17" x14ac:dyDescent="0.25">
      <c r="A4" s="10"/>
      <c r="B4" s="123">
        <v>0.5</v>
      </c>
      <c r="C4" s="123">
        <v>0.5</v>
      </c>
      <c r="D4" s="5"/>
      <c r="F4" s="144"/>
      <c r="G4" s="144"/>
      <c r="H4" s="3"/>
      <c r="I4" s="3"/>
      <c r="L4" s="9"/>
      <c r="O4" s="9"/>
      <c r="P4" s="9"/>
      <c r="Q4" s="9"/>
    </row>
    <row r="5" spans="1:17" x14ac:dyDescent="0.25">
      <c r="A5" s="10" t="s">
        <v>8</v>
      </c>
      <c r="B5" s="11">
        <v>44.23</v>
      </c>
      <c r="C5" s="11">
        <v>28</v>
      </c>
      <c r="D5" s="11"/>
      <c r="F5" s="144"/>
      <c r="G5" s="144"/>
      <c r="H5" s="9"/>
      <c r="I5" s="9"/>
      <c r="L5" s="9"/>
      <c r="O5" s="9"/>
      <c r="P5" s="9"/>
      <c r="Q5" s="9"/>
    </row>
    <row r="6" spans="1:17" x14ac:dyDescent="0.25">
      <c r="A6" s="10" t="s">
        <v>9</v>
      </c>
      <c r="B6" s="11">
        <f>SUM(B5*2080)*50%</f>
        <v>45999.199999999997</v>
      </c>
      <c r="C6" s="11">
        <f>SUM(C5*2080)/2</f>
        <v>29120</v>
      </c>
      <c r="D6" s="11">
        <f t="shared" ref="D6:D13" si="0">SUM(B6:C6)</f>
        <v>75119.199999999997</v>
      </c>
      <c r="F6" s="144"/>
      <c r="G6" s="144"/>
      <c r="H6" s="9"/>
      <c r="I6" s="9"/>
      <c r="O6" s="9"/>
      <c r="P6" s="9"/>
      <c r="Q6" s="9"/>
    </row>
    <row r="7" spans="1:17" x14ac:dyDescent="0.25">
      <c r="A7" s="10"/>
      <c r="B7" s="5"/>
      <c r="C7" s="5"/>
      <c r="D7" s="11">
        <f t="shared" si="0"/>
        <v>0</v>
      </c>
      <c r="F7" s="144"/>
      <c r="G7" s="144"/>
      <c r="L7" s="9"/>
      <c r="O7" s="9"/>
      <c r="P7" s="9"/>
      <c r="Q7" s="9"/>
    </row>
    <row r="8" spans="1:17" x14ac:dyDescent="0.25">
      <c r="A8" s="10"/>
      <c r="B8" s="11"/>
      <c r="C8" s="5"/>
      <c r="D8" s="11">
        <f t="shared" si="0"/>
        <v>0</v>
      </c>
      <c r="F8" s="144"/>
      <c r="G8" s="144"/>
      <c r="H8" s="9"/>
      <c r="I8" s="9"/>
      <c r="L8" s="9"/>
      <c r="O8" s="16"/>
      <c r="P8" s="16"/>
      <c r="Q8" s="9"/>
    </row>
    <row r="9" spans="1:17" x14ac:dyDescent="0.25">
      <c r="A9" s="10" t="s">
        <v>10</v>
      </c>
      <c r="B9" s="11">
        <v>6300</v>
      </c>
      <c r="C9" s="11">
        <v>6300</v>
      </c>
      <c r="D9" s="11">
        <f t="shared" si="0"/>
        <v>12600</v>
      </c>
      <c r="F9" s="144"/>
      <c r="G9" s="144"/>
      <c r="H9" s="9"/>
      <c r="I9" s="9"/>
      <c r="N9" s="26"/>
      <c r="O9" s="36"/>
      <c r="P9" s="36"/>
      <c r="Q9" s="71"/>
    </row>
    <row r="10" spans="1:17" x14ac:dyDescent="0.25">
      <c r="A10" s="10" t="s">
        <v>11</v>
      </c>
      <c r="B10" s="11">
        <f>SUM(B6*11.96%)</f>
        <v>5501.50432</v>
      </c>
      <c r="C10" s="11">
        <f>SUM(C6*11.96%)</f>
        <v>3482.7520000000004</v>
      </c>
      <c r="D10" s="11">
        <f t="shared" si="0"/>
        <v>8984.2563200000004</v>
      </c>
      <c r="F10" s="144"/>
      <c r="G10" s="144"/>
      <c r="H10" s="9"/>
      <c r="I10" s="9"/>
      <c r="O10" s="16"/>
      <c r="P10" s="16"/>
      <c r="Q10" s="16"/>
    </row>
    <row r="11" spans="1:17" x14ac:dyDescent="0.25">
      <c r="A11" s="10" t="s">
        <v>12</v>
      </c>
      <c r="B11" s="11">
        <f>SUM(B6*7.65%)</f>
        <v>3518.9387999999999</v>
      </c>
      <c r="C11" s="11">
        <f>SUM(C6*7.65%)</f>
        <v>2227.6799999999998</v>
      </c>
      <c r="D11" s="11">
        <f t="shared" si="0"/>
        <v>5746.6188000000002</v>
      </c>
      <c r="F11" s="144"/>
      <c r="G11" s="144"/>
      <c r="H11" s="9"/>
      <c r="I11" s="9"/>
    </row>
    <row r="12" spans="1:17" x14ac:dyDescent="0.25">
      <c r="A12" s="10" t="s">
        <v>37</v>
      </c>
      <c r="B12" s="11">
        <v>1351</v>
      </c>
      <c r="C12" s="11">
        <v>1351</v>
      </c>
      <c r="D12" s="11">
        <f t="shared" si="0"/>
        <v>2702</v>
      </c>
      <c r="F12" s="144"/>
      <c r="G12" s="144"/>
      <c r="H12" s="9"/>
      <c r="I12" s="9"/>
    </row>
    <row r="13" spans="1:17" x14ac:dyDescent="0.25">
      <c r="A13" s="89" t="s">
        <v>13</v>
      </c>
      <c r="B13" s="72">
        <f>SUM(B6:B12)</f>
        <v>62670.643119999993</v>
      </c>
      <c r="C13" s="72">
        <f>SUM(C6:C12)</f>
        <v>42481.432000000001</v>
      </c>
      <c r="D13" s="72">
        <f t="shared" si="0"/>
        <v>105152.07511999999</v>
      </c>
      <c r="F13" s="144"/>
      <c r="G13" s="144"/>
      <c r="H13" s="71"/>
      <c r="I13" s="71"/>
      <c r="J13" s="13"/>
    </row>
    <row r="14" spans="1:17" x14ac:dyDescent="0.25">
      <c r="A14" s="89"/>
      <c r="B14" s="72"/>
      <c r="C14" s="72"/>
      <c r="D14" s="72"/>
      <c r="F14" s="3"/>
      <c r="G14" s="3"/>
      <c r="H14" s="71"/>
      <c r="I14" s="71"/>
    </row>
    <row r="15" spans="1:17" x14ac:dyDescent="0.25">
      <c r="F15" s="144"/>
      <c r="G15" s="144"/>
      <c r="H15" s="9"/>
      <c r="I15" s="35"/>
      <c r="K15" s="9"/>
      <c r="M15" s="9"/>
      <c r="N15" s="9"/>
      <c r="O15" s="9"/>
    </row>
    <row r="16" spans="1:17" x14ac:dyDescent="0.25">
      <c r="A16" s="26" t="s">
        <v>14</v>
      </c>
      <c r="B16" s="16"/>
      <c r="C16" s="16"/>
      <c r="F16" s="144"/>
      <c r="G16" s="144"/>
      <c r="H16" s="9"/>
      <c r="I16" s="9"/>
      <c r="K16" s="9"/>
      <c r="M16" s="9"/>
      <c r="N16" s="9"/>
      <c r="O16" s="9"/>
    </row>
    <row r="17" spans="1:16" x14ac:dyDescent="0.25">
      <c r="A17" s="2" t="s">
        <v>15</v>
      </c>
      <c r="B17" s="9">
        <f>SUM(B5)*112/2</f>
        <v>2476.8799999999997</v>
      </c>
      <c r="C17" s="9">
        <f>SUM(C5)*112/2</f>
        <v>1568</v>
      </c>
      <c r="D17" s="16">
        <f t="shared" ref="D17:D24" si="1">SUM(B17:C17)</f>
        <v>4044.8799999999997</v>
      </c>
      <c r="F17" s="144"/>
      <c r="G17" s="144"/>
      <c r="H17" s="9"/>
      <c r="I17" s="9"/>
    </row>
    <row r="18" spans="1:16" x14ac:dyDescent="0.25">
      <c r="A18" s="2" t="s">
        <v>17</v>
      </c>
      <c r="B18" s="9">
        <f>SUM(B5*80.08)/2</f>
        <v>1770.9691999999998</v>
      </c>
      <c r="C18" s="9">
        <f>SUM(C5*80.08)/2</f>
        <v>1121.1199999999999</v>
      </c>
      <c r="D18" s="16">
        <f t="shared" si="1"/>
        <v>2892.0891999999994</v>
      </c>
      <c r="F18" s="144"/>
      <c r="G18" s="144"/>
      <c r="H18" s="9"/>
      <c r="I18" s="124"/>
      <c r="K18" s="9"/>
      <c r="M18" s="9"/>
      <c r="N18" s="9"/>
      <c r="O18" s="9"/>
    </row>
    <row r="19" spans="1:16" x14ac:dyDescent="0.25">
      <c r="A19" s="2" t="s">
        <v>16</v>
      </c>
      <c r="B19" s="9">
        <f>SUM(B5*96.2)/2</f>
        <v>2127.4629999999997</v>
      </c>
      <c r="C19" s="9">
        <f>SUM(C5*96.2)/2</f>
        <v>1346.8</v>
      </c>
      <c r="D19" s="16">
        <f t="shared" si="1"/>
        <v>3474.2629999999999</v>
      </c>
      <c r="F19" s="144"/>
      <c r="G19" s="144"/>
      <c r="H19" s="16"/>
      <c r="I19" s="16"/>
      <c r="K19" s="9"/>
      <c r="M19" s="9"/>
      <c r="N19" s="9"/>
      <c r="O19" s="9"/>
    </row>
    <row r="20" spans="1:16" x14ac:dyDescent="0.25">
      <c r="A20" s="2" t="s">
        <v>10</v>
      </c>
      <c r="B20" s="9">
        <f>B9</f>
        <v>6300</v>
      </c>
      <c r="C20" s="9">
        <v>6300</v>
      </c>
      <c r="D20" s="16">
        <f t="shared" si="1"/>
        <v>12600</v>
      </c>
      <c r="F20" s="144"/>
      <c r="G20" s="144"/>
      <c r="H20" s="36"/>
      <c r="I20" s="36"/>
      <c r="L20" s="9"/>
      <c r="M20" s="9"/>
      <c r="N20" s="9"/>
      <c r="O20" s="9"/>
      <c r="P20" s="9"/>
    </row>
    <row r="21" spans="1:16" x14ac:dyDescent="0.25">
      <c r="A21" s="2" t="s">
        <v>11</v>
      </c>
      <c r="B21" s="9">
        <f>B10</f>
        <v>5501.50432</v>
      </c>
      <c r="C21" s="9">
        <f>C10</f>
        <v>3482.7520000000004</v>
      </c>
      <c r="D21" s="16">
        <f t="shared" si="1"/>
        <v>8984.2563200000004</v>
      </c>
      <c r="F21" s="3"/>
      <c r="G21" s="3"/>
      <c r="H21" s="16"/>
      <c r="I21" s="16"/>
      <c r="L21" s="9"/>
      <c r="M21" s="9"/>
      <c r="N21" s="9"/>
      <c r="O21" s="9"/>
      <c r="P21" s="9"/>
    </row>
    <row r="22" spans="1:16" x14ac:dyDescent="0.25">
      <c r="A22" s="2" t="s">
        <v>12</v>
      </c>
      <c r="B22" s="9">
        <f>B11</f>
        <v>3518.9387999999999</v>
      </c>
      <c r="C22" s="9">
        <f>C11</f>
        <v>2227.6799999999998</v>
      </c>
      <c r="D22" s="16">
        <f t="shared" si="1"/>
        <v>5746.6188000000002</v>
      </c>
      <c r="E22" s="16"/>
      <c r="F22" s="3"/>
      <c r="G22" s="3"/>
      <c r="L22" s="3"/>
      <c r="M22" s="9"/>
      <c r="N22" s="9"/>
      <c r="O22" s="9"/>
      <c r="P22" s="9"/>
    </row>
    <row r="23" spans="1:16" x14ac:dyDescent="0.25">
      <c r="A23" s="2" t="s">
        <v>37</v>
      </c>
      <c r="B23" s="125">
        <f>B12</f>
        <v>1351</v>
      </c>
      <c r="C23" s="125">
        <f>C12</f>
        <v>1351</v>
      </c>
      <c r="D23" s="16">
        <f t="shared" si="1"/>
        <v>2702</v>
      </c>
      <c r="E23" s="144"/>
      <c r="F23" s="144"/>
      <c r="K23" s="3"/>
      <c r="L23" s="9"/>
      <c r="M23" s="9"/>
      <c r="N23" s="9"/>
      <c r="O23" s="9"/>
    </row>
    <row r="24" spans="1:16" x14ac:dyDescent="0.25">
      <c r="A24" s="26" t="s">
        <v>81</v>
      </c>
      <c r="B24" s="126">
        <f>SUM(B17:B23)</f>
        <v>23046.75532</v>
      </c>
      <c r="C24" s="126">
        <f>SUM(C17:C23)</f>
        <v>17397.351999999999</v>
      </c>
      <c r="D24" s="126">
        <f t="shared" si="1"/>
        <v>40444.107319999996</v>
      </c>
      <c r="E24" s="144"/>
      <c r="F24" s="144"/>
      <c r="K24" s="9"/>
    </row>
    <row r="25" spans="1:16" x14ac:dyDescent="0.25">
      <c r="F25" s="144"/>
      <c r="G25" s="144"/>
      <c r="L25" s="9"/>
    </row>
    <row r="26" spans="1:16" ht="27" x14ac:dyDescent="0.25">
      <c r="A26" s="29" t="s">
        <v>19</v>
      </c>
      <c r="B26" s="30" t="s">
        <v>20</v>
      </c>
      <c r="C26" s="30" t="s">
        <v>21</v>
      </c>
      <c r="D26" s="30" t="s">
        <v>22</v>
      </c>
      <c r="E26" s="31" t="s">
        <v>23</v>
      </c>
      <c r="F26" s="30" t="s">
        <v>24</v>
      </c>
      <c r="G26" s="30" t="s">
        <v>50</v>
      </c>
      <c r="H26" s="31" t="s">
        <v>26</v>
      </c>
    </row>
    <row r="27" spans="1:16" x14ac:dyDescent="0.25">
      <c r="A27" s="5" t="s">
        <v>27</v>
      </c>
      <c r="B27" s="11">
        <v>167314.07</v>
      </c>
      <c r="C27" s="11">
        <v>18304</v>
      </c>
      <c r="D27" s="11">
        <v>4520.83</v>
      </c>
      <c r="E27" s="11">
        <v>19801.53</v>
      </c>
      <c r="F27" s="11">
        <v>88001</v>
      </c>
      <c r="G27" s="11">
        <f>D6</f>
        <v>75119.199999999997</v>
      </c>
      <c r="H27" s="15">
        <f>SUM(G27-F27)</f>
        <v>-12881.800000000003</v>
      </c>
      <c r="L27" s="9"/>
    </row>
    <row r="28" spans="1:16" ht="23.25" customHeight="1" x14ac:dyDescent="0.25">
      <c r="A28" s="5" t="s">
        <v>28</v>
      </c>
      <c r="B28" s="11">
        <v>40761.9</v>
      </c>
      <c r="C28" s="11">
        <v>3773.6</v>
      </c>
      <c r="D28" s="11">
        <v>0</v>
      </c>
      <c r="E28" s="11">
        <v>4119.45</v>
      </c>
      <c r="F28" s="11">
        <v>17640</v>
      </c>
      <c r="G28" s="11">
        <f>D9</f>
        <v>12600</v>
      </c>
      <c r="H28" s="15">
        <f t="shared" ref="H28:H31" si="2">SUM(G28-F28)</f>
        <v>-5040</v>
      </c>
      <c r="L28" s="9"/>
    </row>
    <row r="29" spans="1:16" x14ac:dyDescent="0.25">
      <c r="A29" s="5" t="s">
        <v>11</v>
      </c>
      <c r="B29" s="11">
        <v>18569.53</v>
      </c>
      <c r="C29" s="11">
        <v>2082.08</v>
      </c>
      <c r="D29" s="11">
        <v>0</v>
      </c>
      <c r="E29" s="11">
        <v>2000.97</v>
      </c>
      <c r="F29" s="11">
        <v>10525</v>
      </c>
      <c r="G29" s="11">
        <f>D10</f>
        <v>8984.2563200000004</v>
      </c>
      <c r="H29" s="15">
        <f t="shared" si="2"/>
        <v>-1540.7436799999996</v>
      </c>
      <c r="L29" s="9"/>
    </row>
    <row r="30" spans="1:16" x14ac:dyDescent="0.25">
      <c r="A30" s="5" t="s">
        <v>52</v>
      </c>
      <c r="B30" s="11">
        <v>11902.1</v>
      </c>
      <c r="C30" s="11">
        <v>1400.26</v>
      </c>
      <c r="D30" s="11">
        <v>19.510000000000002</v>
      </c>
      <c r="E30" s="11">
        <v>1421.89</v>
      </c>
      <c r="F30" s="11">
        <v>6732</v>
      </c>
      <c r="G30" s="11">
        <f>D11</f>
        <v>5746.6188000000002</v>
      </c>
      <c r="H30" s="15">
        <f t="shared" si="2"/>
        <v>-985.38119999999981</v>
      </c>
      <c r="L30" s="9"/>
    </row>
    <row r="31" spans="1:16" x14ac:dyDescent="0.25">
      <c r="A31" s="5" t="s">
        <v>53</v>
      </c>
      <c r="B31" s="11">
        <v>0</v>
      </c>
      <c r="C31" s="11">
        <v>3845.5</v>
      </c>
      <c r="D31" s="11">
        <v>761.21</v>
      </c>
      <c r="E31" s="11">
        <v>479.04</v>
      </c>
      <c r="F31" s="11">
        <v>1028</v>
      </c>
      <c r="G31" s="11">
        <f>D12</f>
        <v>2702</v>
      </c>
      <c r="H31" s="15">
        <f t="shared" si="2"/>
        <v>1674</v>
      </c>
      <c r="M31" s="9"/>
    </row>
    <row r="32" spans="1:16" x14ac:dyDescent="0.25">
      <c r="A32" s="29" t="s">
        <v>32</v>
      </c>
      <c r="B32" s="72">
        <f t="shared" ref="B32:D32" si="3">SUM(B27:B31)</f>
        <v>238547.6</v>
      </c>
      <c r="C32" s="72">
        <f t="shared" si="3"/>
        <v>29405.439999999999</v>
      </c>
      <c r="D32" s="72">
        <f t="shared" si="3"/>
        <v>5301.55</v>
      </c>
      <c r="E32" s="72">
        <f>SUM(E27:E31)</f>
        <v>27822.880000000001</v>
      </c>
      <c r="F32" s="72">
        <f>SUM(F27:F31)</f>
        <v>123926</v>
      </c>
      <c r="G32" s="72">
        <f>SUM(G27:G31)</f>
        <v>105152.07511999999</v>
      </c>
      <c r="H32" s="11">
        <f>SUM(H27:H31)</f>
        <v>-18773.924880000002</v>
      </c>
      <c r="M32" s="71"/>
    </row>
    <row r="33" spans="2:13" x14ac:dyDescent="0.25">
      <c r="M33" s="71"/>
    </row>
    <row r="34" spans="2:13" x14ac:dyDescent="0.25">
      <c r="K34" s="16"/>
      <c r="M34" s="9"/>
    </row>
    <row r="35" spans="2:13" x14ac:dyDescent="0.25">
      <c r="B35" s="9"/>
      <c r="C35" s="9"/>
      <c r="D35" s="9"/>
      <c r="M35" s="16"/>
    </row>
    <row r="36" spans="2:13" x14ac:dyDescent="0.25">
      <c r="B36" s="9"/>
      <c r="C36" s="9"/>
      <c r="D36" s="9"/>
      <c r="E36" s="3"/>
      <c r="M36" s="9"/>
    </row>
    <row r="37" spans="2:13" x14ac:dyDescent="0.25">
      <c r="B37" s="9"/>
      <c r="C37" s="9"/>
      <c r="D37" s="9"/>
      <c r="E37" s="9"/>
      <c r="M37" s="9"/>
    </row>
    <row r="38" spans="2:13" x14ac:dyDescent="0.25">
      <c r="B38" s="16"/>
      <c r="C38" s="16"/>
      <c r="D38" s="16"/>
      <c r="E38" s="9"/>
      <c r="M38" s="9"/>
    </row>
    <row r="39" spans="2:13" x14ac:dyDescent="0.2">
      <c r="E39" s="9"/>
      <c r="F39" s="127"/>
      <c r="G39" s="127"/>
      <c r="M39" s="36"/>
    </row>
    <row r="40" spans="2:13" x14ac:dyDescent="0.25">
      <c r="E40" s="9"/>
    </row>
    <row r="41" spans="2:13" x14ac:dyDescent="0.25">
      <c r="E41" s="9"/>
    </row>
    <row r="42" spans="2:13" x14ac:dyDescent="0.25">
      <c r="E42" s="9"/>
    </row>
    <row r="43" spans="2:13" x14ac:dyDescent="0.25">
      <c r="E43" s="9"/>
    </row>
    <row r="44" spans="2:13" x14ac:dyDescent="0.25">
      <c r="E44" s="16"/>
    </row>
    <row r="58" spans="8:13" ht="15" x14ac:dyDescent="0.25">
      <c r="H58"/>
      <c r="I58"/>
      <c r="J58"/>
      <c r="K58"/>
      <c r="L58"/>
      <c r="M58"/>
    </row>
    <row r="59" spans="8:13" ht="15" x14ac:dyDescent="0.25">
      <c r="H59"/>
      <c r="I59"/>
      <c r="J59"/>
      <c r="K59"/>
      <c r="L59"/>
      <c r="M59"/>
    </row>
  </sheetData>
  <sheetProtection algorithmName="SHA-512" hashValue="S9fmtx97Z5U0ZX4NghobWNyAdns28G83tHRZVtJfrbi6S1/mgigBCBj6SGhlM1QovgQhwK49K70boy4xUlGkuA==" saltValue="8kZ9P7KILzOqjdyT5myOCA==" spinCount="100000" sheet="1" objects="1" scenarios="1"/>
  <mergeCells count="20">
    <mergeCell ref="F15:G15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E24:F24"/>
    <mergeCell ref="F25:G25"/>
    <mergeCell ref="F16:G16"/>
    <mergeCell ref="F17:G17"/>
    <mergeCell ref="F18:G18"/>
    <mergeCell ref="F19:G19"/>
    <mergeCell ref="F20:G20"/>
    <mergeCell ref="E23:F23"/>
  </mergeCells>
  <pageMargins left="0.7" right="0.7" top="0.75" bottom="0.75" header="0.3" footer="0.3"/>
  <pageSetup scale="9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30DC3-2615-4F0A-B094-55F354EEC1A4}">
  <sheetPr>
    <pageSetUpPr fitToPage="1"/>
  </sheetPr>
  <dimension ref="A1:O53"/>
  <sheetViews>
    <sheetView workbookViewId="0">
      <selection activeCell="F16" sqref="F16"/>
    </sheetView>
  </sheetViews>
  <sheetFormatPr defaultRowHeight="13.5" x14ac:dyDescent="0.25"/>
  <cols>
    <col min="1" max="1" width="29.140625" style="2" customWidth="1"/>
    <col min="2" max="2" width="14.140625" style="2" bestFit="1" customWidth="1"/>
    <col min="3" max="3" width="16" style="2" customWidth="1"/>
    <col min="4" max="4" width="16.28515625" style="2" customWidth="1"/>
    <col min="5" max="5" width="17.140625" style="2" bestFit="1" customWidth="1"/>
    <col min="6" max="7" width="16.5703125" style="2" customWidth="1"/>
    <col min="8" max="8" width="15.5703125" style="2" bestFit="1" customWidth="1"/>
    <col min="9" max="9" width="13.7109375" style="2" bestFit="1" customWidth="1"/>
    <col min="10" max="10" width="13.28515625" style="2" bestFit="1" customWidth="1"/>
    <col min="11" max="11" width="14.140625" style="2" bestFit="1" customWidth="1"/>
    <col min="12" max="12" width="19.140625" style="2" bestFit="1" customWidth="1"/>
    <col min="13" max="14" width="9.140625" style="2"/>
    <col min="15" max="15" width="10" style="2" bestFit="1" customWidth="1"/>
    <col min="16" max="16384" width="9.140625" style="2"/>
  </cols>
  <sheetData>
    <row r="1" spans="1:15" ht="18.75" x14ac:dyDescent="0.25">
      <c r="A1" s="1" t="s">
        <v>100</v>
      </c>
    </row>
    <row r="2" spans="1:15" x14ac:dyDescent="0.25">
      <c r="B2" s="3"/>
      <c r="C2" s="3"/>
    </row>
    <row r="3" spans="1:15" ht="27" x14ac:dyDescent="0.25">
      <c r="A3" s="10"/>
      <c r="B3" s="31" t="s">
        <v>98</v>
      </c>
      <c r="C3" s="128" t="s">
        <v>101</v>
      </c>
      <c r="D3" s="93" t="s">
        <v>5</v>
      </c>
    </row>
    <row r="4" spans="1:15" x14ac:dyDescent="0.25">
      <c r="A4" s="10"/>
      <c r="B4" s="30" t="s">
        <v>102</v>
      </c>
      <c r="C4" s="115" t="s">
        <v>103</v>
      </c>
      <c r="D4" s="10"/>
    </row>
    <row r="5" spans="1:15" x14ac:dyDescent="0.25">
      <c r="A5" s="10" t="s">
        <v>8</v>
      </c>
      <c r="B5" s="11">
        <v>44.23</v>
      </c>
      <c r="C5" s="88">
        <v>28</v>
      </c>
      <c r="D5" s="12"/>
      <c r="J5" s="9"/>
      <c r="M5" s="9"/>
      <c r="N5" s="9"/>
      <c r="O5" s="9"/>
    </row>
    <row r="6" spans="1:15" x14ac:dyDescent="0.25">
      <c r="A6" s="10" t="s">
        <v>9</v>
      </c>
      <c r="B6" s="11">
        <f>SUM(B5*2080)*50%</f>
        <v>45999.199999999997</v>
      </c>
      <c r="C6" s="88">
        <f>SUM(C5*2080)/2</f>
        <v>29120</v>
      </c>
      <c r="D6" s="12">
        <f t="shared" ref="D6:D11" si="0">SUM(B6:C6)</f>
        <v>75119.199999999997</v>
      </c>
      <c r="J6" s="9"/>
      <c r="M6" s="9"/>
      <c r="N6" s="9"/>
      <c r="O6" s="9"/>
    </row>
    <row r="7" spans="1:15" x14ac:dyDescent="0.25">
      <c r="A7" s="10" t="s">
        <v>10</v>
      </c>
      <c r="B7" s="11">
        <v>6300</v>
      </c>
      <c r="C7" s="88">
        <v>6300</v>
      </c>
      <c r="D7" s="12">
        <f t="shared" si="0"/>
        <v>12600</v>
      </c>
      <c r="J7" s="9"/>
      <c r="M7" s="9"/>
      <c r="N7" s="9"/>
      <c r="O7" s="9"/>
    </row>
    <row r="8" spans="1:15" x14ac:dyDescent="0.25">
      <c r="A8" s="10" t="s">
        <v>11</v>
      </c>
      <c r="B8" s="11">
        <f>SUM(B6*11.96%)</f>
        <v>5501.50432</v>
      </c>
      <c r="C8" s="88">
        <f>SUM(C6*11.96%)</f>
        <v>3482.7520000000004</v>
      </c>
      <c r="D8" s="12">
        <f t="shared" si="0"/>
        <v>8984.2563200000004</v>
      </c>
      <c r="J8" s="9"/>
      <c r="M8" s="16"/>
      <c r="N8" s="16"/>
      <c r="O8" s="9"/>
    </row>
    <row r="9" spans="1:15" x14ac:dyDescent="0.25">
      <c r="A9" s="10" t="s">
        <v>12</v>
      </c>
      <c r="B9" s="11">
        <f>SUM(B6*7.65%)</f>
        <v>3518.9387999999999</v>
      </c>
      <c r="C9" s="88">
        <f>SUM(C6*7.65%)</f>
        <v>2227.6799999999998</v>
      </c>
      <c r="D9" s="12">
        <f t="shared" si="0"/>
        <v>5746.6188000000002</v>
      </c>
      <c r="L9" s="26"/>
      <c r="M9" s="36"/>
      <c r="N9" s="36"/>
      <c r="O9" s="9"/>
    </row>
    <row r="10" spans="1:15" x14ac:dyDescent="0.25">
      <c r="A10" s="10" t="s">
        <v>37</v>
      </c>
      <c r="B10" s="11">
        <v>1353.5</v>
      </c>
      <c r="C10" s="11">
        <v>1353.5</v>
      </c>
      <c r="D10" s="12">
        <f t="shared" si="0"/>
        <v>2707</v>
      </c>
      <c r="L10" s="26"/>
      <c r="M10" s="36"/>
      <c r="N10" s="36"/>
      <c r="O10" s="71"/>
    </row>
    <row r="11" spans="1:15" x14ac:dyDescent="0.25">
      <c r="A11" s="81" t="s">
        <v>13</v>
      </c>
      <c r="B11" s="72">
        <f>SUM(B6:B10)</f>
        <v>62673.143119999993</v>
      </c>
      <c r="C11" s="72">
        <f>SUM(C6:C10)</f>
        <v>42483.932000000001</v>
      </c>
      <c r="D11" s="72">
        <f t="shared" si="0"/>
        <v>105157.07511999999</v>
      </c>
    </row>
    <row r="12" spans="1:15" x14ac:dyDescent="0.25">
      <c r="B12" s="9"/>
      <c r="D12" s="9"/>
    </row>
    <row r="13" spans="1:15" x14ac:dyDescent="0.25">
      <c r="A13" s="26"/>
      <c r="B13" s="36"/>
      <c r="C13" s="36"/>
      <c r="D13" s="71"/>
    </row>
    <row r="14" spans="1:15" ht="24" customHeight="1" x14ac:dyDescent="0.25">
      <c r="A14" s="129" t="s">
        <v>104</v>
      </c>
      <c r="B14" s="36"/>
      <c r="D14" s="130" t="s">
        <v>5</v>
      </c>
      <c r="G14" s="13"/>
      <c r="I14" s="9"/>
      <c r="K14" s="9"/>
      <c r="L14" s="9"/>
      <c r="M14" s="9"/>
    </row>
    <row r="15" spans="1:15" x14ac:dyDescent="0.25">
      <c r="A15" s="2" t="s">
        <v>15</v>
      </c>
      <c r="B15" s="9">
        <f>SUM(B5*112)/2</f>
        <v>2476.8799999999997</v>
      </c>
      <c r="C15" s="9">
        <f>SUM(C5*112)/2</f>
        <v>1568</v>
      </c>
      <c r="D15" s="9">
        <f t="shared" ref="D15:D21" si="1">SUM(B15:C15)</f>
        <v>4044.8799999999997</v>
      </c>
      <c r="I15" s="9"/>
      <c r="K15" s="9"/>
      <c r="L15" s="9"/>
      <c r="M15" s="9"/>
    </row>
    <row r="16" spans="1:15" x14ac:dyDescent="0.25">
      <c r="A16" s="2" t="s">
        <v>17</v>
      </c>
      <c r="B16" s="9">
        <f>SUM(B5*80.08)*50%</f>
        <v>1770.9691999999998</v>
      </c>
      <c r="C16" s="9">
        <f>SUM(K22+L32)*80.08</f>
        <v>0</v>
      </c>
      <c r="D16" s="9">
        <f t="shared" si="1"/>
        <v>1770.9691999999998</v>
      </c>
    </row>
    <row r="17" spans="1:13" x14ac:dyDescent="0.25">
      <c r="A17" s="2" t="s">
        <v>16</v>
      </c>
      <c r="B17" s="9">
        <f>SUM(B5*96.2)*50%</f>
        <v>2127.4629999999997</v>
      </c>
      <c r="C17" s="9">
        <f>SUM(K22+L32)*96.2</f>
        <v>0</v>
      </c>
      <c r="D17" s="9">
        <f t="shared" si="1"/>
        <v>2127.4629999999997</v>
      </c>
      <c r="G17" s="41"/>
      <c r="I17" s="9"/>
      <c r="K17" s="9"/>
      <c r="L17" s="9"/>
      <c r="M17" s="9"/>
    </row>
    <row r="18" spans="1:13" ht="14.25" customHeight="1" x14ac:dyDescent="0.25">
      <c r="A18" s="2" t="s">
        <v>10</v>
      </c>
      <c r="B18" s="9">
        <v>6300</v>
      </c>
      <c r="C18" s="9">
        <v>6300</v>
      </c>
      <c r="D18" s="9">
        <f t="shared" si="1"/>
        <v>12600</v>
      </c>
      <c r="I18" s="9"/>
      <c r="K18" s="9"/>
      <c r="L18" s="9"/>
      <c r="M18" s="9"/>
    </row>
    <row r="19" spans="1:13" ht="19.5" customHeight="1" x14ac:dyDescent="0.25">
      <c r="A19" s="2" t="s">
        <v>11</v>
      </c>
      <c r="B19" s="9">
        <f t="shared" ref="B19:C21" si="2">B8</f>
        <v>5501.50432</v>
      </c>
      <c r="C19" s="9">
        <f t="shared" si="2"/>
        <v>3482.7520000000004</v>
      </c>
      <c r="D19" s="9">
        <f t="shared" si="1"/>
        <v>8984.2563200000004</v>
      </c>
    </row>
    <row r="20" spans="1:13" x14ac:dyDescent="0.25">
      <c r="A20" s="2" t="s">
        <v>12</v>
      </c>
      <c r="B20" s="9">
        <f t="shared" si="2"/>
        <v>3518.9387999999999</v>
      </c>
      <c r="C20" s="9">
        <f t="shared" si="2"/>
        <v>2227.6799999999998</v>
      </c>
      <c r="D20" s="9">
        <f t="shared" si="1"/>
        <v>5746.6188000000002</v>
      </c>
      <c r="F20" s="36"/>
      <c r="J20" s="109"/>
      <c r="K20" s="109"/>
    </row>
    <row r="21" spans="1:13" x14ac:dyDescent="0.25">
      <c r="A21" s="77" t="s">
        <v>37</v>
      </c>
      <c r="B21" s="73">
        <f t="shared" si="2"/>
        <v>1353.5</v>
      </c>
      <c r="C21" s="73">
        <f t="shared" si="2"/>
        <v>1353.5</v>
      </c>
      <c r="D21" s="9">
        <f t="shared" si="1"/>
        <v>2707</v>
      </c>
      <c r="F21" s="36"/>
      <c r="H21" s="9"/>
      <c r="J21" s="3"/>
      <c r="K21" s="26"/>
    </row>
    <row r="22" spans="1:13" x14ac:dyDescent="0.25">
      <c r="A22" s="27" t="s">
        <v>18</v>
      </c>
      <c r="B22" s="131">
        <f>SUM(B15:B21)</f>
        <v>23049.25532</v>
      </c>
      <c r="C22" s="131">
        <f t="shared" ref="C22" si="3">SUM(C15:C21)</f>
        <v>14931.932000000001</v>
      </c>
      <c r="D22" s="126">
        <f>SUM(D15:D21)</f>
        <v>37981.187319999997</v>
      </c>
      <c r="F22" s="9"/>
      <c r="H22" s="9"/>
      <c r="J22" s="9"/>
      <c r="K22" s="9"/>
    </row>
    <row r="23" spans="1:13" x14ac:dyDescent="0.25">
      <c r="A23" s="132"/>
      <c r="B23" s="84"/>
      <c r="C23" s="84"/>
      <c r="D23" s="84"/>
      <c r="H23" s="9"/>
      <c r="J23" s="9"/>
      <c r="K23" s="9"/>
    </row>
    <row r="24" spans="1:13" x14ac:dyDescent="0.25">
      <c r="A24" s="29" t="s">
        <v>19</v>
      </c>
      <c r="B24" s="30" t="s">
        <v>20</v>
      </c>
      <c r="C24" s="30" t="s">
        <v>21</v>
      </c>
      <c r="D24" s="30" t="s">
        <v>22</v>
      </c>
      <c r="E24" s="30" t="s">
        <v>23</v>
      </c>
      <c r="F24" s="30" t="s">
        <v>24</v>
      </c>
      <c r="G24" s="30" t="s">
        <v>50</v>
      </c>
      <c r="I24" s="9"/>
    </row>
    <row r="25" spans="1:13" x14ac:dyDescent="0.25">
      <c r="A25" s="5" t="s">
        <v>27</v>
      </c>
      <c r="B25" s="11">
        <f>SUM(191823.94+11731.01)</f>
        <v>203554.95</v>
      </c>
      <c r="C25" s="11">
        <v>43784</v>
      </c>
      <c r="D25" s="11">
        <v>1973.42</v>
      </c>
      <c r="E25" s="11">
        <v>24606.15</v>
      </c>
      <c r="F25" s="11">
        <v>106001</v>
      </c>
      <c r="G25" s="11">
        <f>D6</f>
        <v>75119.199999999997</v>
      </c>
      <c r="I25" s="9"/>
      <c r="K25" s="9"/>
      <c r="L25" s="9"/>
    </row>
    <row r="26" spans="1:13" x14ac:dyDescent="0.25">
      <c r="A26" s="5" t="s">
        <v>28</v>
      </c>
      <c r="B26" s="11">
        <v>36761.75</v>
      </c>
      <c r="C26" s="11">
        <v>10062.6</v>
      </c>
      <c r="D26" s="11">
        <v>0</v>
      </c>
      <c r="E26" s="11">
        <v>3844.26</v>
      </c>
      <c r="F26" s="11">
        <v>20160</v>
      </c>
      <c r="G26" s="11">
        <f>D7</f>
        <v>12600</v>
      </c>
      <c r="I26" s="9"/>
      <c r="K26" s="9"/>
      <c r="L26" s="9"/>
    </row>
    <row r="27" spans="1:13" x14ac:dyDescent="0.25">
      <c r="A27" s="5" t="s">
        <v>11</v>
      </c>
      <c r="B27" s="11">
        <v>22898.61</v>
      </c>
      <c r="C27" s="11">
        <v>5506.59</v>
      </c>
      <c r="D27" s="11">
        <v>0</v>
      </c>
      <c r="E27" s="11">
        <v>2596.89</v>
      </c>
      <c r="F27" s="11">
        <v>12678</v>
      </c>
      <c r="G27" s="11">
        <f>SUM(G25*11.96%)</f>
        <v>8984.2563200000004</v>
      </c>
      <c r="I27" s="9"/>
      <c r="K27" s="9"/>
      <c r="L27" s="9"/>
    </row>
    <row r="28" spans="1:13" x14ac:dyDescent="0.25">
      <c r="A28" s="5" t="s">
        <v>52</v>
      </c>
      <c r="B28" s="11">
        <v>14674.53</v>
      </c>
      <c r="C28" s="11">
        <v>3349.48</v>
      </c>
      <c r="D28" s="11">
        <v>150.97</v>
      </c>
      <c r="E28" s="11">
        <v>1856.24</v>
      </c>
      <c r="F28" s="11">
        <v>8109</v>
      </c>
      <c r="G28" s="11">
        <f>SUM(G25*7.65%)</f>
        <v>5746.6187999999993</v>
      </c>
      <c r="I28" s="71"/>
      <c r="K28" s="9"/>
      <c r="L28" s="9"/>
    </row>
    <row r="29" spans="1:13" x14ac:dyDescent="0.25">
      <c r="A29" s="5" t="s">
        <v>53</v>
      </c>
      <c r="B29" s="11">
        <v>0</v>
      </c>
      <c r="C29" s="11">
        <v>4153.1400000000003</v>
      </c>
      <c r="D29" s="11">
        <v>206.6</v>
      </c>
      <c r="E29" s="11">
        <v>152.16</v>
      </c>
      <c r="F29" s="11">
        <v>1892</v>
      </c>
      <c r="G29" s="11">
        <v>2707</v>
      </c>
      <c r="K29" s="71"/>
      <c r="L29" s="71"/>
    </row>
    <row r="30" spans="1:13" x14ac:dyDescent="0.25">
      <c r="A30" s="133" t="s">
        <v>32</v>
      </c>
      <c r="B30" s="134">
        <f>SUM(B25:B29)</f>
        <v>277889.84000000003</v>
      </c>
      <c r="C30" s="134">
        <f t="shared" ref="C30:E30" si="4">SUM(C25:C29)</f>
        <v>66855.810000000012</v>
      </c>
      <c r="D30" s="134">
        <f t="shared" si="4"/>
        <v>2330.9899999999998</v>
      </c>
      <c r="E30" s="134">
        <f t="shared" si="4"/>
        <v>33055.700000000004</v>
      </c>
      <c r="F30" s="72">
        <f>SUM(F25:F29)</f>
        <v>148840</v>
      </c>
      <c r="G30" s="72">
        <f>SUM(G25:G29)</f>
        <v>105157.07511999999</v>
      </c>
      <c r="K30" s="9"/>
      <c r="L30" s="9"/>
    </row>
    <row r="31" spans="1:13" x14ac:dyDescent="0.25">
      <c r="B31" s="9"/>
      <c r="C31" s="9"/>
      <c r="D31" s="9"/>
      <c r="E31" s="9"/>
      <c r="K31" s="9"/>
      <c r="L31" s="9"/>
    </row>
    <row r="32" spans="1:13" x14ac:dyDescent="0.25">
      <c r="K32" s="9"/>
      <c r="L32" s="9"/>
    </row>
    <row r="33" spans="1:12" ht="18.75" x14ac:dyDescent="0.25">
      <c r="A33" s="135"/>
      <c r="B33" s="98"/>
      <c r="C33" s="98"/>
      <c r="D33" s="98"/>
      <c r="K33" s="9"/>
      <c r="L33" s="9"/>
    </row>
    <row r="34" spans="1:12" ht="18.75" x14ac:dyDescent="0.2">
      <c r="A34" s="66"/>
      <c r="B34" s="98"/>
      <c r="C34" s="98"/>
      <c r="D34" s="98"/>
      <c r="E34" s="127"/>
      <c r="I34" s="16"/>
      <c r="K34" s="9"/>
      <c r="L34" s="9"/>
    </row>
    <row r="35" spans="1:12" ht="18.75" x14ac:dyDescent="0.25">
      <c r="A35" s="136"/>
      <c r="B35" s="137"/>
      <c r="C35" s="138"/>
      <c r="D35" s="137"/>
      <c r="I35" s="16"/>
      <c r="K35" s="16"/>
      <c r="L35" s="16"/>
    </row>
    <row r="36" spans="1:12" ht="15" x14ac:dyDescent="0.2">
      <c r="A36" s="136"/>
      <c r="B36" s="139"/>
      <c r="C36" s="136"/>
      <c r="D36" s="136"/>
      <c r="E36" s="3"/>
      <c r="H36" s="127"/>
      <c r="I36" s="127"/>
      <c r="J36" s="127"/>
      <c r="K36" s="36"/>
      <c r="L36" s="36"/>
    </row>
    <row r="37" spans="1:12" ht="15" x14ac:dyDescent="0.25">
      <c r="A37" s="136"/>
      <c r="B37" s="140"/>
      <c r="C37" s="140"/>
      <c r="D37" s="140"/>
      <c r="E37" s="9"/>
      <c r="K37" s="36"/>
      <c r="L37" s="36"/>
    </row>
    <row r="38" spans="1:12" ht="15" x14ac:dyDescent="0.25">
      <c r="A38" s="136"/>
      <c r="B38" s="140"/>
      <c r="C38" s="140"/>
      <c r="D38" s="140"/>
      <c r="E38" s="9"/>
    </row>
    <row r="39" spans="1:12" ht="15" x14ac:dyDescent="0.25">
      <c r="A39" s="136"/>
      <c r="B39" s="140"/>
      <c r="C39" s="140"/>
      <c r="D39" s="140"/>
      <c r="E39" s="9"/>
    </row>
    <row r="40" spans="1:12" ht="15" x14ac:dyDescent="0.25">
      <c r="A40" s="136"/>
      <c r="B40" s="136"/>
      <c r="C40" s="136"/>
      <c r="D40" s="136"/>
      <c r="E40" s="9"/>
    </row>
    <row r="41" spans="1:12" ht="9.75" customHeight="1" x14ac:dyDescent="0.2">
      <c r="A41" s="136"/>
      <c r="B41" s="140"/>
      <c r="C41" s="140"/>
      <c r="D41" s="140"/>
      <c r="E41" s="9"/>
      <c r="F41" s="127"/>
    </row>
    <row r="42" spans="1:12" x14ac:dyDescent="0.25">
      <c r="E42" s="9"/>
    </row>
    <row r="43" spans="1:12" ht="18.75" x14ac:dyDescent="0.25">
      <c r="A43" s="1"/>
      <c r="E43" s="16"/>
    </row>
    <row r="44" spans="1:12" x14ac:dyDescent="0.25">
      <c r="E44" s="16"/>
    </row>
    <row r="45" spans="1:12" x14ac:dyDescent="0.25">
      <c r="B45" s="3"/>
      <c r="C45" s="3"/>
    </row>
    <row r="46" spans="1:12" x14ac:dyDescent="0.25">
      <c r="B46" s="9"/>
      <c r="C46" s="9"/>
    </row>
    <row r="47" spans="1:12" x14ac:dyDescent="0.25">
      <c r="B47" s="9"/>
      <c r="C47" s="9"/>
    </row>
    <row r="48" spans="1:12" x14ac:dyDescent="0.25">
      <c r="B48" s="9"/>
      <c r="C48" s="9"/>
    </row>
    <row r="49" spans="2:3" x14ac:dyDescent="0.25">
      <c r="B49" s="9"/>
      <c r="C49" s="9"/>
    </row>
    <row r="50" spans="2:3" x14ac:dyDescent="0.25">
      <c r="B50" s="9"/>
      <c r="C50" s="9"/>
    </row>
    <row r="51" spans="2:3" x14ac:dyDescent="0.25">
      <c r="B51" s="9"/>
      <c r="C51" s="9"/>
    </row>
    <row r="52" spans="2:3" x14ac:dyDescent="0.25">
      <c r="B52" s="16"/>
      <c r="C52" s="16"/>
    </row>
    <row r="53" spans="2:3" x14ac:dyDescent="0.25">
      <c r="B53" s="16"/>
      <c r="C53" s="16"/>
    </row>
  </sheetData>
  <sheetProtection algorithmName="SHA-512" hashValue="oDLMbm13rTHb7QS+oqKX8gzbBlIrHa+Sp9WlpGmrr9kyAQWqA5fBwFu6TxRMWyrKLIjcpRuKn0Jmo7KfR7nhkA==" saltValue="tAGbp81EBRr7EskySdhysw==" spinCount="100000" sheet="1" objects="1" scenarios="1"/>
  <pageMargins left="0.7" right="0.7" top="0.75" bottom="0.75" header="0.3" footer="0.3"/>
  <pageSetup scale="97" fitToHeight="0" orientation="landscape" verticalDpi="0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Admin</vt:lpstr>
      <vt:lpstr>Council</vt:lpstr>
      <vt:lpstr>CD</vt:lpstr>
      <vt:lpstr>Fire</vt:lpstr>
      <vt:lpstr>Library</vt:lpstr>
      <vt:lpstr>Marshal</vt:lpstr>
      <vt:lpstr>Streets Parks B&amp;G</vt:lpstr>
      <vt:lpstr>Water</vt:lpstr>
      <vt:lpstr>Wastewater</vt:lpstr>
      <vt:lpstr>Admin!Print_Area</vt:lpstr>
      <vt:lpstr>CD!Print_Area</vt:lpstr>
      <vt:lpstr>Council!Print_Area</vt:lpstr>
      <vt:lpstr>Library!Print_Area</vt:lpstr>
      <vt:lpstr>Marshal!Print_Area</vt:lpstr>
      <vt:lpstr>'Streets Parks B&amp;G'!Print_Area</vt:lpstr>
      <vt:lpstr>Wastewater!Print_Area</vt:lpstr>
      <vt:lpstr>Water!Print_Area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Shelly Shoemaker</dc:creator>
  <cp:lastModifiedBy>Shelly Shoemaker</cp:lastModifiedBy>
  <dcterms:created xsi:type="dcterms:W3CDTF">2026-02-04T20:16:29Z</dcterms:created>
  <dcterms:modified xsi:type="dcterms:W3CDTF">2026-02-04T23:20:17Z</dcterms:modified>
</cp:coreProperties>
</file>